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updateLinks="never" codeName="ThisWorkbook" defaultThemeVersion="124226"/>
  <bookViews>
    <workbookView xWindow="-120" yWindow="-120" windowWidth="19440" windowHeight="15390" tabRatio="618" firstSheet="15" activeTab="15"/>
  </bookViews>
  <sheets>
    <sheet name="emisja" sheetId="5" state="hidden" r:id="rId1"/>
    <sheet name="Z" sheetId="28" state="hidden" r:id="rId2"/>
    <sheet name="Wskaźniki emisji, założenia" sheetId="34" r:id="rId3"/>
    <sheet name="Bud.gminne 2015 " sheetId="22" state="hidden" r:id="rId4"/>
    <sheet name="Oświetlenie, en.elektr. 2015" sheetId="20" state="hidden" r:id="rId5"/>
    <sheet name="Mieszkalnictwo 2015" sheetId="46" state="hidden" r:id="rId6"/>
    <sheet name="Mieszkalne emisja, energia" sheetId="33" state="hidden" r:id="rId7"/>
    <sheet name="Działalność gospodarcza 2015" sheetId="49" state="hidden" r:id="rId8"/>
    <sheet name="Działalność gospodarcza 204" sheetId="44" state="hidden" r:id="rId9"/>
    <sheet name="Przedsiębiorcy, przemysł" sheetId="27" state="hidden" r:id="rId10"/>
    <sheet name="Przemy" sheetId="24" state="hidden" r:id="rId11"/>
    <sheet name="Pozostałe" sheetId="31" state="hidden" r:id="rId12"/>
    <sheet name="Arkusz2" sheetId="29" state="hidden" r:id="rId13"/>
    <sheet name="Transport 2015" sheetId="25" state="hidden" r:id="rId14"/>
    <sheet name="Realizacja harmonogramu 2016-20" sheetId="64" r:id="rId15"/>
    <sheet name="Osiągnięcie celów 2016-2020" sheetId="62" r:id="rId16"/>
    <sheet name="Osiągnięcie celów 2021-2024" sheetId="65" r:id="rId17"/>
    <sheet name="Osiągnięcie celów 2016-2027" sheetId="59" r:id="rId18"/>
    <sheet name="efekt. eko - transport" sheetId="54" state="hidden" r:id="rId19"/>
    <sheet name="Arkusz1" sheetId="26" state="hidden" r:id="rId20"/>
  </sheets>
  <externalReferences>
    <externalReference r:id="rId21"/>
    <externalReference r:id="rId22"/>
    <externalReference r:id="rId23"/>
    <externalReference r:id="rId24"/>
    <externalReference r:id="rId25"/>
  </externalReferences>
  <definedNames>
    <definedName name="_Hlk178671600" localSheetId="17">'Osiągnięcie celów 2016-2027'!$E$45</definedName>
    <definedName name="_xlnm.Print_Area" localSheetId="3">'Bud.gminne 2015 '!$A$1:$S$31</definedName>
    <definedName name="_xlnm.Print_Area" localSheetId="7">'Działalność gospodarcza 2015'!$A$1:$P$45</definedName>
    <definedName name="_xlnm.Print_Area" localSheetId="8">'Działalność gospodarcza 204'!$A$1:$Q$51</definedName>
    <definedName name="_xlnm.Print_Area" localSheetId="18">'efekt. eko - transport'!$A$1:$P$30</definedName>
    <definedName name="_xlnm.Print_Area" localSheetId="6">'Mieszkalne emisja, energia'!$A$1:$Q$78</definedName>
    <definedName name="_xlnm.Print_Area" localSheetId="5">'Mieszkalnictwo 2015'!$A$1:$P$61</definedName>
    <definedName name="_xlnm.Print_Area" localSheetId="4">'Oświetlenie, en.elektr. 2015'!$A$1:$F$8</definedName>
    <definedName name="_xlnm.Print_Area" localSheetId="10">Przemy!$K$1:$AI$33</definedName>
    <definedName name="_xlnm.Print_Area" localSheetId="13">'Transport 2015'!$A$1:$T$62</definedName>
    <definedName name="pompa_ciepła___wiatr" localSheetId="8">#REF!</definedName>
    <definedName name="pompa_ciepła___wiatr" localSheetId="10">#REF!</definedName>
    <definedName name="pompa_ciepła___wiat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4" i="59"/>
  <c r="G34"/>
  <c r="F34"/>
  <c r="E34"/>
  <c r="E26" i="65"/>
  <c r="E27" s="1"/>
  <c r="E35" s="1"/>
  <c r="K13"/>
  <c r="H13"/>
  <c r="I13"/>
  <c r="J13"/>
  <c r="L13"/>
  <c r="M13"/>
  <c r="N13"/>
  <c r="O13"/>
  <c r="G13"/>
  <c r="K11"/>
  <c r="K12"/>
  <c r="F13"/>
  <c r="E13"/>
  <c r="E11"/>
  <c r="E12"/>
  <c r="F12"/>
  <c r="F11"/>
  <c r="X14"/>
  <c r="V14"/>
  <c r="W14" s="1"/>
  <c r="R14"/>
  <c r="X13"/>
  <c r="S13"/>
  <c r="V13" s="1"/>
  <c r="W13" s="1"/>
  <c r="R13"/>
  <c r="AQ15" i="59"/>
  <c r="AA15" s="1"/>
  <c r="D15" s="1"/>
  <c r="E15" s="1"/>
  <c r="AV15"/>
  <c r="BE15"/>
  <c r="BF15" s="1"/>
  <c r="BH15"/>
  <c r="S15"/>
  <c r="V15" s="1"/>
  <c r="F35"/>
  <c r="G35"/>
  <c r="J30" i="65"/>
  <c r="K30"/>
  <c r="L30"/>
  <c r="I30"/>
  <c r="G30"/>
  <c r="G33" s="1"/>
  <c r="F30"/>
  <c r="E30" s="1"/>
  <c r="H13" i="64"/>
  <c r="I13"/>
  <c r="J13"/>
  <c r="K13"/>
  <c r="L13"/>
  <c r="G13"/>
  <c r="R24" i="59"/>
  <c r="R25"/>
  <c r="R22"/>
  <c r="AR10" i="65"/>
  <c r="AD10" s="1"/>
  <c r="J10" s="1"/>
  <c r="G10"/>
  <c r="H10" s="1"/>
  <c r="T10"/>
  <c r="W10" s="1"/>
  <c r="V9"/>
  <c r="W9"/>
  <c r="X9"/>
  <c r="Y9"/>
  <c r="Z9"/>
  <c r="AA9"/>
  <c r="U9"/>
  <c r="W8"/>
  <c r="R24"/>
  <c r="Z24" s="1"/>
  <c r="S23"/>
  <c r="S24"/>
  <c r="T24" s="1"/>
  <c r="AB24" s="1"/>
  <c r="AR23"/>
  <c r="AS23" s="1"/>
  <c r="R23"/>
  <c r="H23"/>
  <c r="R22"/>
  <c r="T22" s="1"/>
  <c r="R21"/>
  <c r="T21" s="1"/>
  <c r="AA21" s="1"/>
  <c r="R20"/>
  <c r="T20" s="1"/>
  <c r="R19"/>
  <c r="Q22" i="59" s="1"/>
  <c r="V7" i="65"/>
  <c r="W7"/>
  <c r="X7"/>
  <c r="Y7"/>
  <c r="Z7"/>
  <c r="AA7"/>
  <c r="U7"/>
  <c r="V6"/>
  <c r="W6"/>
  <c r="X6"/>
  <c r="Y6"/>
  <c r="Z6"/>
  <c r="AA6"/>
  <c r="U6"/>
  <c r="BI25"/>
  <c r="BF25"/>
  <c r="AW25"/>
  <c r="T25"/>
  <c r="O25"/>
  <c r="N25"/>
  <c r="M25"/>
  <c r="L25"/>
  <c r="J25"/>
  <c r="I25"/>
  <c r="BI24"/>
  <c r="BF24"/>
  <c r="AW24"/>
  <c r="AS24"/>
  <c r="AR22"/>
  <c r="AS22" s="1"/>
  <c r="H22"/>
  <c r="AR21"/>
  <c r="AS21" s="1"/>
  <c r="AR20"/>
  <c r="AS20" s="1"/>
  <c r="AS19"/>
  <c r="O16"/>
  <c r="N16"/>
  <c r="M16"/>
  <c r="L16"/>
  <c r="K16"/>
  <c r="J16"/>
  <c r="I16"/>
  <c r="H16"/>
  <c r="G16"/>
  <c r="F16"/>
  <c r="E16"/>
  <c r="BI9"/>
  <c r="BF9"/>
  <c r="BG9" s="1"/>
  <c r="AW9"/>
  <c r="AR9"/>
  <c r="BI8"/>
  <c r="BF8"/>
  <c r="BG8" s="1"/>
  <c r="AW8"/>
  <c r="AR8"/>
  <c r="AF8" s="1"/>
  <c r="L8" s="1"/>
  <c r="BI7"/>
  <c r="BF7"/>
  <c r="BG7" s="1"/>
  <c r="AW7"/>
  <c r="AR7"/>
  <c r="AS7" s="1"/>
  <c r="BI6"/>
  <c r="BF6"/>
  <c r="AW6"/>
  <c r="AR6"/>
  <c r="AB6" s="1"/>
  <c r="E6" s="1"/>
  <c r="AR12" i="62"/>
  <c r="AG12" s="1"/>
  <c r="W12"/>
  <c r="W11"/>
  <c r="AR9"/>
  <c r="AC9" s="1"/>
  <c r="I9" s="1"/>
  <c r="AS9"/>
  <c r="AR10"/>
  <c r="AS10" s="1"/>
  <c r="AR11"/>
  <c r="AS11" s="1"/>
  <c r="W8"/>
  <c r="W9"/>
  <c r="W10"/>
  <c r="W7"/>
  <c r="W5" i="64"/>
  <c r="Z5"/>
  <c r="X5"/>
  <c r="Y5"/>
  <c r="AA5"/>
  <c r="V5"/>
  <c r="BI15" i="62"/>
  <c r="BF15"/>
  <c r="BG15" s="1"/>
  <c r="AW15"/>
  <c r="AR15"/>
  <c r="AA15"/>
  <c r="Z15"/>
  <c r="Y15"/>
  <c r="X15"/>
  <c r="W15"/>
  <c r="V15"/>
  <c r="U15"/>
  <c r="BI14"/>
  <c r="BF14"/>
  <c r="BG14" s="1"/>
  <c r="AW14"/>
  <c r="AR14"/>
  <c r="AS14" s="1"/>
  <c r="AA14"/>
  <c r="O14" s="1"/>
  <c r="Z14"/>
  <c r="N14" s="1"/>
  <c r="Y14"/>
  <c r="M14" s="1"/>
  <c r="X14"/>
  <c r="L14" s="1"/>
  <c r="W14"/>
  <c r="V14"/>
  <c r="J14" s="1"/>
  <c r="U14"/>
  <c r="BI13"/>
  <c r="BF13"/>
  <c r="BG13" s="1"/>
  <c r="AW13"/>
  <c r="AR13"/>
  <c r="AA13"/>
  <c r="Z13"/>
  <c r="Y13"/>
  <c r="X13"/>
  <c r="W13"/>
  <c r="V13"/>
  <c r="U13"/>
  <c r="BI12"/>
  <c r="BF12"/>
  <c r="BG12" s="1"/>
  <c r="AW12"/>
  <c r="BI11"/>
  <c r="BF11"/>
  <c r="BG11" s="1"/>
  <c r="BI10"/>
  <c r="BF10"/>
  <c r="BG10" s="1"/>
  <c r="AW10"/>
  <c r="BI9"/>
  <c r="BF9"/>
  <c r="BG9" s="1"/>
  <c r="AW9"/>
  <c r="BI8"/>
  <c r="BF8"/>
  <c r="BG8" s="1"/>
  <c r="AW8"/>
  <c r="AR8"/>
  <c r="AI8" s="1"/>
  <c r="BI7"/>
  <c r="BF7"/>
  <c r="BG7" s="1"/>
  <c r="AW7"/>
  <c r="AR7"/>
  <c r="AC7" s="1"/>
  <c r="F36" i="59" l="1"/>
  <c r="AH15"/>
  <c r="N15" s="1"/>
  <c r="AG15"/>
  <c r="M15" s="1"/>
  <c r="AF15"/>
  <c r="L15" s="1"/>
  <c r="AE15"/>
  <c r="K15" s="1"/>
  <c r="AD15"/>
  <c r="J15" s="1"/>
  <c r="AC15"/>
  <c r="I15" s="1"/>
  <c r="AR15"/>
  <c r="AB15"/>
  <c r="H15" s="1"/>
  <c r="H30" i="65"/>
  <c r="H33" s="1"/>
  <c r="Z13" i="64"/>
  <c r="K32" i="65" s="1"/>
  <c r="J35" i="59" s="1"/>
  <c r="J36" s="1"/>
  <c r="V13" i="64"/>
  <c r="F32" i="65" s="1"/>
  <c r="E32" s="1"/>
  <c r="D35" i="59" s="1"/>
  <c r="X13" i="64"/>
  <c r="I32" i="65" s="1"/>
  <c r="I33" s="1"/>
  <c r="AF12" i="62"/>
  <c r="AE12"/>
  <c r="AD7"/>
  <c r="AH9"/>
  <c r="N9" s="1"/>
  <c r="AG9"/>
  <c r="M9" s="1"/>
  <c r="AD12"/>
  <c r="AF9"/>
  <c r="L9" s="1"/>
  <c r="AG8"/>
  <c r="AF8"/>
  <c r="AH8"/>
  <c r="AS12"/>
  <c r="AD8"/>
  <c r="AH10"/>
  <c r="AG10"/>
  <c r="AE8"/>
  <c r="AC12"/>
  <c r="AI7"/>
  <c r="AF10"/>
  <c r="AH7"/>
  <c r="AE10"/>
  <c r="AC8"/>
  <c r="AG7"/>
  <c r="AD10"/>
  <c r="AB11"/>
  <c r="E11" s="1"/>
  <c r="F11" s="1"/>
  <c r="AC11"/>
  <c r="I11" s="1"/>
  <c r="AF7"/>
  <c r="AC10"/>
  <c r="AB10"/>
  <c r="AE7"/>
  <c r="AI9"/>
  <c r="O9" s="1"/>
  <c r="AB9"/>
  <c r="E9" s="1"/>
  <c r="F9" s="1"/>
  <c r="AB8"/>
  <c r="AE11"/>
  <c r="AI11"/>
  <c r="O11" s="1"/>
  <c r="AH11"/>
  <c r="N11" s="1"/>
  <c r="AE9"/>
  <c r="K9" s="1"/>
  <c r="AI10"/>
  <c r="AG11"/>
  <c r="M11" s="1"/>
  <c r="AD9"/>
  <c r="J9" s="1"/>
  <c r="AI12"/>
  <c r="AF11"/>
  <c r="L11" s="1"/>
  <c r="AH12"/>
  <c r="AD11"/>
  <c r="J11" s="1"/>
  <c r="Y13" i="64"/>
  <c r="J32" i="65" s="1"/>
  <c r="I35" i="59" s="1"/>
  <c r="I37" s="1"/>
  <c r="W13" i="64"/>
  <c r="AA13"/>
  <c r="L32" i="65" s="1"/>
  <c r="K35" i="59" s="1"/>
  <c r="K36" s="1"/>
  <c r="Q23"/>
  <c r="Q25" s="1"/>
  <c r="W24" i="65"/>
  <c r="Y24"/>
  <c r="M24" s="1"/>
  <c r="F15" i="59"/>
  <c r="G15" s="1"/>
  <c r="AI10" i="65"/>
  <c r="O10" s="1"/>
  <c r="AE10"/>
  <c r="K10" s="1"/>
  <c r="AC10"/>
  <c r="I10" s="1"/>
  <c r="AB10"/>
  <c r="E10" s="1"/>
  <c r="F10" s="1"/>
  <c r="AS10"/>
  <c r="AH10"/>
  <c r="N10" s="1"/>
  <c r="AG10"/>
  <c r="M10" s="1"/>
  <c r="AF10"/>
  <c r="L10" s="1"/>
  <c r="U24"/>
  <c r="I24" s="1"/>
  <c r="X24"/>
  <c r="L24" s="1"/>
  <c r="AF9"/>
  <c r="L9" s="1"/>
  <c r="V24"/>
  <c r="J24" s="1"/>
  <c r="E24"/>
  <c r="AA24"/>
  <c r="O24" s="1"/>
  <c r="U23"/>
  <c r="W23"/>
  <c r="T23"/>
  <c r="AB23" s="1"/>
  <c r="E23" s="1"/>
  <c r="F23" s="1"/>
  <c r="V23"/>
  <c r="G6"/>
  <c r="X23"/>
  <c r="Y23"/>
  <c r="Z23"/>
  <c r="AA23"/>
  <c r="T19"/>
  <c r="X19" s="1"/>
  <c r="AE9"/>
  <c r="K9" s="1"/>
  <c r="AD6"/>
  <c r="J6" s="1"/>
  <c r="AI6"/>
  <c r="O6" s="1"/>
  <c r="AS6"/>
  <c r="G7"/>
  <c r="H7" s="1"/>
  <c r="G8"/>
  <c r="H8" s="1"/>
  <c r="AE8"/>
  <c r="K8" s="1"/>
  <c r="AH6"/>
  <c r="N6" s="1"/>
  <c r="AB8"/>
  <c r="E8" s="1"/>
  <c r="F8" s="1"/>
  <c r="G25"/>
  <c r="H25" s="1"/>
  <c r="AD8"/>
  <c r="J8" s="1"/>
  <c r="BG25"/>
  <c r="AG8"/>
  <c r="M8" s="1"/>
  <c r="AG9"/>
  <c r="M9" s="1"/>
  <c r="AB21"/>
  <c r="AE21" s="1"/>
  <c r="AE6"/>
  <c r="AH8"/>
  <c r="N8" s="1"/>
  <c r="U21"/>
  <c r="AI8"/>
  <c r="O8" s="1"/>
  <c r="X21"/>
  <c r="AC6"/>
  <c r="I6" s="1"/>
  <c r="AG6"/>
  <c r="M6" s="1"/>
  <c r="AE24"/>
  <c r="N24"/>
  <c r="G24"/>
  <c r="H24" s="1"/>
  <c r="Y20"/>
  <c r="X20"/>
  <c r="W20"/>
  <c r="V20"/>
  <c r="U20"/>
  <c r="AB20"/>
  <c r="AA20"/>
  <c r="Z20"/>
  <c r="F6"/>
  <c r="W25"/>
  <c r="E25"/>
  <c r="F25" s="1"/>
  <c r="W22"/>
  <c r="V22"/>
  <c r="U22"/>
  <c r="AB22"/>
  <c r="AA22"/>
  <c r="Z22"/>
  <c r="Y22"/>
  <c r="X22"/>
  <c r="AF6"/>
  <c r="L6" s="1"/>
  <c r="BG6"/>
  <c r="G9"/>
  <c r="H9" s="1"/>
  <c r="AH9"/>
  <c r="N9" s="1"/>
  <c r="V21"/>
  <c r="AC8"/>
  <c r="I8" s="1"/>
  <c r="AS8"/>
  <c r="AI9"/>
  <c r="O9" s="1"/>
  <c r="W21"/>
  <c r="AC9"/>
  <c r="I9" s="1"/>
  <c r="AS9"/>
  <c r="Y21"/>
  <c r="AB9"/>
  <c r="E9" s="1"/>
  <c r="F9" s="1"/>
  <c r="AD9"/>
  <c r="J9" s="1"/>
  <c r="Z21"/>
  <c r="K11" i="62"/>
  <c r="G14"/>
  <c r="H14" s="1"/>
  <c r="AE15"/>
  <c r="K15" s="1"/>
  <c r="G11"/>
  <c r="H11" s="1"/>
  <c r="AB14"/>
  <c r="AC14" s="1"/>
  <c r="I14" s="1"/>
  <c r="AH13"/>
  <c r="N13" s="1"/>
  <c r="G8"/>
  <c r="H8" s="1"/>
  <c r="AI13"/>
  <c r="O13" s="1"/>
  <c r="AG13"/>
  <c r="M13" s="1"/>
  <c r="G13"/>
  <c r="H13" s="1"/>
  <c r="G12"/>
  <c r="H12" s="1"/>
  <c r="K14"/>
  <c r="G15"/>
  <c r="H15" s="1"/>
  <c r="G9"/>
  <c r="H9" s="1"/>
  <c r="G7"/>
  <c r="H7" s="1"/>
  <c r="G10"/>
  <c r="H10" s="1"/>
  <c r="AB15"/>
  <c r="E15" s="1"/>
  <c r="F15" s="1"/>
  <c r="AH15"/>
  <c r="N15" s="1"/>
  <c r="AG15"/>
  <c r="M15" s="1"/>
  <c r="AC13"/>
  <c r="I13" s="1"/>
  <c r="AS13"/>
  <c r="AI15"/>
  <c r="O15" s="1"/>
  <c r="AF15"/>
  <c r="L15" s="1"/>
  <c r="AD13"/>
  <c r="J13" s="1"/>
  <c r="AS7"/>
  <c r="AS8"/>
  <c r="AE13"/>
  <c r="K13" s="1"/>
  <c r="AC15"/>
  <c r="I15" s="1"/>
  <c r="AS15"/>
  <c r="AF13"/>
  <c r="L13" s="1"/>
  <c r="AD15"/>
  <c r="J15" s="1"/>
  <c r="AB13"/>
  <c r="E13" s="1"/>
  <c r="F13" s="1"/>
  <c r="BE10" i="59"/>
  <c r="BF10" s="1"/>
  <c r="J10" s="1"/>
  <c r="BH10"/>
  <c r="D10"/>
  <c r="E10" s="1"/>
  <c r="H10"/>
  <c r="I10"/>
  <c r="K10"/>
  <c r="L10"/>
  <c r="M10"/>
  <c r="N10"/>
  <c r="D8"/>
  <c r="E8" s="1"/>
  <c r="H8"/>
  <c r="I8"/>
  <c r="K8"/>
  <c r="L8"/>
  <c r="M8"/>
  <c r="N8"/>
  <c r="AV8"/>
  <c r="BE8"/>
  <c r="BF8" s="1"/>
  <c r="J8" s="1"/>
  <c r="BH8"/>
  <c r="L33" i="65" l="1"/>
  <c r="J33"/>
  <c r="K33"/>
  <c r="E35" i="59"/>
  <c r="E36" s="1"/>
  <c r="H35"/>
  <c r="H37" s="1"/>
  <c r="F33" i="65"/>
  <c r="I36" i="59"/>
  <c r="E33" i="65"/>
  <c r="H6"/>
  <c r="K25"/>
  <c r="AE23"/>
  <c r="K23" s="1"/>
  <c r="AD23"/>
  <c r="J23" s="1"/>
  <c r="AF23"/>
  <c r="L23" s="1"/>
  <c r="AG23"/>
  <c r="M23" s="1"/>
  <c r="AH23"/>
  <c r="N23" s="1"/>
  <c r="AI23"/>
  <c r="O23" s="1"/>
  <c r="AC23"/>
  <c r="I23" s="1"/>
  <c r="E22"/>
  <c r="F22" s="1"/>
  <c r="L21"/>
  <c r="V19"/>
  <c r="Z19"/>
  <c r="AB19"/>
  <c r="AH19" s="1"/>
  <c r="Y19"/>
  <c r="AA19"/>
  <c r="U19"/>
  <c r="W19"/>
  <c r="K6"/>
  <c r="M21"/>
  <c r="N21"/>
  <c r="E21"/>
  <c r="F21" s="1"/>
  <c r="G21"/>
  <c r="H21" s="1"/>
  <c r="K21"/>
  <c r="I21"/>
  <c r="O21"/>
  <c r="J21"/>
  <c r="AG20"/>
  <c r="M20" s="1"/>
  <c r="AF20"/>
  <c r="L20" s="1"/>
  <c r="AE20"/>
  <c r="K20" s="1"/>
  <c r="AD20"/>
  <c r="J20" s="1"/>
  <c r="AC20"/>
  <c r="I20" s="1"/>
  <c r="AH20"/>
  <c r="N20" s="1"/>
  <c r="AI20"/>
  <c r="O20" s="1"/>
  <c r="AE22"/>
  <c r="K22" s="1"/>
  <c r="AD22"/>
  <c r="J22" s="1"/>
  <c r="AC22"/>
  <c r="I22" s="1"/>
  <c r="AI22"/>
  <c r="O22" s="1"/>
  <c r="AH22"/>
  <c r="N22" s="1"/>
  <c r="AF22"/>
  <c r="L22" s="1"/>
  <c r="AG22"/>
  <c r="M22" s="1"/>
  <c r="K24"/>
  <c r="F24"/>
  <c r="E20"/>
  <c r="F20" s="1"/>
  <c r="E14" i="62"/>
  <c r="F14" s="1"/>
  <c r="H16"/>
  <c r="G16"/>
  <c r="F10" i="59"/>
  <c r="G10" s="1"/>
  <c r="F8"/>
  <c r="G8" s="1"/>
  <c r="W17"/>
  <c r="X17" s="1"/>
  <c r="H36" l="1"/>
  <c r="AG19" i="65"/>
  <c r="M19" s="1"/>
  <c r="M26" s="1"/>
  <c r="N19"/>
  <c r="N26" s="1"/>
  <c r="E19"/>
  <c r="F19" s="1"/>
  <c r="F26" s="1"/>
  <c r="G19"/>
  <c r="H19" s="1"/>
  <c r="H26" s="1"/>
  <c r="H27" s="1"/>
  <c r="H35" s="1"/>
  <c r="AC19"/>
  <c r="I19" s="1"/>
  <c r="I26" s="1"/>
  <c r="AD19"/>
  <c r="J19" s="1"/>
  <c r="J26" s="1"/>
  <c r="AE19"/>
  <c r="K19" s="1"/>
  <c r="K26" s="1"/>
  <c r="AI19"/>
  <c r="O19" s="1"/>
  <c r="O26" s="1"/>
  <c r="AF19"/>
  <c r="L19" s="1"/>
  <c r="L26" s="1"/>
  <c r="T11" i="59"/>
  <c r="W11"/>
  <c r="X11"/>
  <c r="Y11"/>
  <c r="Z11"/>
  <c r="Y9"/>
  <c r="U7"/>
  <c r="H36" i="65" l="1"/>
  <c r="H38"/>
  <c r="H39" s="1"/>
  <c r="G26"/>
  <c r="G27" s="1"/>
  <c r="G35" s="1"/>
  <c r="U11" i="59"/>
  <c r="V11"/>
  <c r="T7"/>
  <c r="Z7"/>
  <c r="Y7"/>
  <c r="W7"/>
  <c r="X7"/>
  <c r="X9"/>
  <c r="W9"/>
  <c r="V7"/>
  <c r="S25"/>
  <c r="V25" s="1"/>
  <c r="T9"/>
  <c r="U9"/>
  <c r="V9"/>
  <c r="Z9"/>
  <c r="G36" i="65" l="1"/>
  <c r="G38"/>
  <c r="G39" s="1"/>
  <c r="G36" i="59"/>
  <c r="J37" l="1"/>
  <c r="D37"/>
  <c r="V6"/>
  <c r="U6"/>
  <c r="W6"/>
  <c r="X6"/>
  <c r="Y6"/>
  <c r="Z6"/>
  <c r="T6"/>
  <c r="D36" l="1"/>
  <c r="BH27"/>
  <c r="BE27"/>
  <c r="AV27"/>
  <c r="S27"/>
  <c r="V27" s="1"/>
  <c r="N27"/>
  <c r="M27"/>
  <c r="L27"/>
  <c r="K27"/>
  <c r="I27"/>
  <c r="H27"/>
  <c r="BH26"/>
  <c r="BE26"/>
  <c r="AV26"/>
  <c r="AR26"/>
  <c r="S26"/>
  <c r="AQ25"/>
  <c r="AR25" s="1"/>
  <c r="G25"/>
  <c r="AQ24"/>
  <c r="AR24" s="1"/>
  <c r="S24"/>
  <c r="V24" s="1"/>
  <c r="AQ23"/>
  <c r="AR23" s="1"/>
  <c r="S23"/>
  <c r="Y23" s="1"/>
  <c r="AR22"/>
  <c r="S22"/>
  <c r="N19"/>
  <c r="M19"/>
  <c r="L19"/>
  <c r="K19"/>
  <c r="I19"/>
  <c r="H19"/>
  <c r="G19"/>
  <c r="F19"/>
  <c r="J19"/>
  <c r="E19"/>
  <c r="BH14"/>
  <c r="BE14"/>
  <c r="BF14" s="1"/>
  <c r="AV14"/>
  <c r="AQ14"/>
  <c r="AR14" s="1"/>
  <c r="Z14"/>
  <c r="Y14"/>
  <c r="X14"/>
  <c r="W14"/>
  <c r="V14"/>
  <c r="U14"/>
  <c r="T14"/>
  <c r="BH13"/>
  <c r="BE13"/>
  <c r="BF13" s="1"/>
  <c r="AV13"/>
  <c r="AQ13"/>
  <c r="AR13" s="1"/>
  <c r="Z13"/>
  <c r="N13" s="1"/>
  <c r="W13"/>
  <c r="K13" s="1"/>
  <c r="V13"/>
  <c r="U13"/>
  <c r="I13" s="1"/>
  <c r="BH12"/>
  <c r="BE12"/>
  <c r="BF12" s="1"/>
  <c r="AV12"/>
  <c r="AQ12"/>
  <c r="T12"/>
  <c r="BH11"/>
  <c r="BE11"/>
  <c r="AV11"/>
  <c r="BH9"/>
  <c r="BE9"/>
  <c r="BF9" s="1"/>
  <c r="AV9"/>
  <c r="AQ9"/>
  <c r="AR9" s="1"/>
  <c r="BH7"/>
  <c r="BE7"/>
  <c r="BF7" s="1"/>
  <c r="AV7"/>
  <c r="AQ7"/>
  <c r="AA7" s="1"/>
  <c r="D7" s="1"/>
  <c r="E7" s="1"/>
  <c r="BH6"/>
  <c r="BE6"/>
  <c r="AV6"/>
  <c r="AQ6"/>
  <c r="AR6" s="1"/>
  <c r="AA22" l="1"/>
  <c r="F22" s="1"/>
  <c r="Z22"/>
  <c r="W22"/>
  <c r="Y22"/>
  <c r="T22"/>
  <c r="U22"/>
  <c r="V22"/>
  <c r="X22"/>
  <c r="Z23"/>
  <c r="AA13"/>
  <c r="AB13" s="1"/>
  <c r="D27"/>
  <c r="E27" s="1"/>
  <c r="AA14"/>
  <c r="D14" s="1"/>
  <c r="E14" s="1"/>
  <c r="AA23"/>
  <c r="D23" s="1"/>
  <c r="E23" s="1"/>
  <c r="F13"/>
  <c r="G13" s="1"/>
  <c r="J13"/>
  <c r="AE14"/>
  <c r="K14" s="1"/>
  <c r="T23"/>
  <c r="F37"/>
  <c r="AF14"/>
  <c r="L14" s="1"/>
  <c r="U23"/>
  <c r="F7"/>
  <c r="AG14"/>
  <c r="M14" s="1"/>
  <c r="V23"/>
  <c r="F6"/>
  <c r="D19"/>
  <c r="Y17"/>
  <c r="U12"/>
  <c r="AC12" s="1"/>
  <c r="V12"/>
  <c r="AD12" s="1"/>
  <c r="AA12"/>
  <c r="D12" s="1"/>
  <c r="E12" s="1"/>
  <c r="AB12"/>
  <c r="H12" s="1"/>
  <c r="AR12"/>
  <c r="AA11"/>
  <c r="AR11"/>
  <c r="W24"/>
  <c r="F12"/>
  <c r="G12" s="1"/>
  <c r="X24"/>
  <c r="AG9"/>
  <c r="T24"/>
  <c r="AH7"/>
  <c r="N7" s="1"/>
  <c r="AG7"/>
  <c r="M7" s="1"/>
  <c r="BF6"/>
  <c r="AR7"/>
  <c r="AB14"/>
  <c r="H14" s="1"/>
  <c r="AC14"/>
  <c r="I14" s="1"/>
  <c r="AD14"/>
  <c r="J14" s="1"/>
  <c r="Z12"/>
  <c r="Y12"/>
  <c r="AG12" s="1"/>
  <c r="X12"/>
  <c r="AF12" s="1"/>
  <c r="W12"/>
  <c r="Z24"/>
  <c r="Y24"/>
  <c r="AF7"/>
  <c r="L7" s="1"/>
  <c r="U24"/>
  <c r="F9"/>
  <c r="G9" s="1"/>
  <c r="F14"/>
  <c r="G14" s="1"/>
  <c r="Z26"/>
  <c r="N26" s="1"/>
  <c r="Y26"/>
  <c r="M26" s="1"/>
  <c r="F26"/>
  <c r="G26" s="1"/>
  <c r="X26"/>
  <c r="L26" s="1"/>
  <c r="T26"/>
  <c r="H26" s="1"/>
  <c r="AA24"/>
  <c r="AA26"/>
  <c r="U26"/>
  <c r="I26" s="1"/>
  <c r="F11"/>
  <c r="G11" s="1"/>
  <c r="V26"/>
  <c r="W26"/>
  <c r="K26" s="1"/>
  <c r="F27"/>
  <c r="G27" s="1"/>
  <c r="AH14"/>
  <c r="N14" s="1"/>
  <c r="AB7"/>
  <c r="BF11"/>
  <c r="Y13"/>
  <c r="M13" s="1"/>
  <c r="X13"/>
  <c r="L13" s="1"/>
  <c r="AF9"/>
  <c r="L9" s="1"/>
  <c r="AA9"/>
  <c r="D9" s="1"/>
  <c r="T13"/>
  <c r="H13" s="1"/>
  <c r="X23"/>
  <c r="W23"/>
  <c r="BF27"/>
  <c r="J27" s="1"/>
  <c r="G7" l="1"/>
  <c r="F16"/>
  <c r="D11"/>
  <c r="E11" s="1"/>
  <c r="AC11"/>
  <c r="AB11"/>
  <c r="H11" s="1"/>
  <c r="AD11"/>
  <c r="J11" s="1"/>
  <c r="AE11"/>
  <c r="K11" s="1"/>
  <c r="AF11"/>
  <c r="L11" s="1"/>
  <c r="AG11"/>
  <c r="M11" s="1"/>
  <c r="AH11"/>
  <c r="N11" s="1"/>
  <c r="G22"/>
  <c r="AG22"/>
  <c r="M22" s="1"/>
  <c r="AH22"/>
  <c r="N22" s="1"/>
  <c r="AC22"/>
  <c r="I22" s="1"/>
  <c r="AE22"/>
  <c r="K22" s="1"/>
  <c r="AF22"/>
  <c r="L22" s="1"/>
  <c r="D24"/>
  <c r="E24" s="1"/>
  <c r="AC24"/>
  <c r="I24" s="1"/>
  <c r="AD24"/>
  <c r="AH24"/>
  <c r="N24" s="1"/>
  <c r="AE24"/>
  <c r="K24" s="1"/>
  <c r="AF24"/>
  <c r="L24" s="1"/>
  <c r="AG24"/>
  <c r="M24" s="1"/>
  <c r="AB24"/>
  <c r="H24" s="1"/>
  <c r="AB22"/>
  <c r="H22" s="1"/>
  <c r="AD22"/>
  <c r="J22" s="1"/>
  <c r="AC23"/>
  <c r="I23" s="1"/>
  <c r="AD23"/>
  <c r="J23" s="1"/>
  <c r="AE23"/>
  <c r="K23" s="1"/>
  <c r="AB23"/>
  <c r="H23" s="1"/>
  <c r="D13"/>
  <c r="E13" s="1"/>
  <c r="D22"/>
  <c r="AG23"/>
  <c r="M23" s="1"/>
  <c r="AH23"/>
  <c r="N23" s="1"/>
  <c r="G6"/>
  <c r="AF23"/>
  <c r="L23" s="1"/>
  <c r="E9"/>
  <c r="AD7"/>
  <c r="J7" s="1"/>
  <c r="AE9"/>
  <c r="K9" s="1"/>
  <c r="AC7"/>
  <c r="I7" s="1"/>
  <c r="AH9"/>
  <c r="N9" s="1"/>
  <c r="AD26"/>
  <c r="J26" s="1"/>
  <c r="D26"/>
  <c r="E26" s="1"/>
  <c r="AD9"/>
  <c r="J9" s="1"/>
  <c r="M12"/>
  <c r="AH12"/>
  <c r="N12" s="1"/>
  <c r="M9"/>
  <c r="U25"/>
  <c r="T25"/>
  <c r="Y25"/>
  <c r="X25"/>
  <c r="AA25"/>
  <c r="Z25"/>
  <c r="W25"/>
  <c r="AE7"/>
  <c r="K7" s="1"/>
  <c r="J12"/>
  <c r="I12"/>
  <c r="H7"/>
  <c r="L12"/>
  <c r="AB9"/>
  <c r="H9" s="1"/>
  <c r="AC9"/>
  <c r="I9" s="1"/>
  <c r="I11"/>
  <c r="F24"/>
  <c r="F28" s="1"/>
  <c r="J24"/>
  <c r="AE12"/>
  <c r="K12" s="1"/>
  <c r="G16" l="1"/>
  <c r="F29"/>
  <c r="E22"/>
  <c r="G24"/>
  <c r="G28" s="1"/>
  <c r="AE25"/>
  <c r="K25" s="1"/>
  <c r="K28" s="1"/>
  <c r="AD25"/>
  <c r="J25" s="1"/>
  <c r="J28" s="1"/>
  <c r="AH25"/>
  <c r="N25" s="1"/>
  <c r="N28" s="1"/>
  <c r="AG25"/>
  <c r="M25" s="1"/>
  <c r="M28" s="1"/>
  <c r="AF25"/>
  <c r="L25" s="1"/>
  <c r="L28" s="1"/>
  <c r="AB25"/>
  <c r="H25" s="1"/>
  <c r="H28" s="1"/>
  <c r="AC25"/>
  <c r="I25" s="1"/>
  <c r="I28" s="1"/>
  <c r="D25"/>
  <c r="D28" s="1"/>
  <c r="F38" l="1"/>
  <c r="F39" s="1"/>
  <c r="G29"/>
  <c r="E25"/>
  <c r="E28" s="1"/>
  <c r="G38" l="1"/>
  <c r="G39" s="1"/>
  <c r="H26" i="54"/>
  <c r="F26"/>
  <c r="D26"/>
  <c r="E26" s="1"/>
  <c r="G13"/>
  <c r="I13" s="1"/>
  <c r="K13" s="1"/>
  <c r="E13"/>
  <c r="G26" l="1"/>
  <c r="B30" s="1"/>
  <c r="E21"/>
  <c r="F30" s="1"/>
  <c r="H21"/>
  <c r="I30" s="1"/>
  <c r="G21"/>
  <c r="H30" s="1"/>
  <c r="I26"/>
  <c r="F21" l="1"/>
  <c r="G30" s="1"/>
  <c r="D21"/>
  <c r="E30" s="1"/>
  <c r="B21" l="1"/>
  <c r="C30" s="1"/>
  <c r="C21"/>
  <c r="D30" s="1"/>
  <c r="L14" i="25"/>
  <c r="Q21" i="22" l="1"/>
  <c r="B8" i="20" l="1"/>
  <c r="C29" i="22" l="1"/>
  <c r="C27"/>
  <c r="C28"/>
  <c r="C30"/>
  <c r="J18" l="1"/>
  <c r="K18"/>
  <c r="L18"/>
  <c r="M18"/>
  <c r="N18"/>
  <c r="O18"/>
  <c r="P18"/>
  <c r="B12" i="49" l="1"/>
  <c r="C27" i="46"/>
  <c r="C17"/>
  <c r="C12"/>
  <c r="I19" i="22" l="1"/>
  <c r="I5"/>
  <c r="C25" s="1"/>
  <c r="I6"/>
  <c r="I7"/>
  <c r="I8"/>
  <c r="I9"/>
  <c r="I10"/>
  <c r="I11"/>
  <c r="I12"/>
  <c r="I14"/>
  <c r="I15"/>
  <c r="I16"/>
  <c r="I17"/>
  <c r="I13"/>
  <c r="C26" s="1"/>
  <c r="L16" l="1"/>
  <c r="P16"/>
  <c r="M16"/>
  <c r="O16"/>
  <c r="J16"/>
  <c r="N16"/>
  <c r="K16"/>
  <c r="L11"/>
  <c r="P11"/>
  <c r="K11"/>
  <c r="M11"/>
  <c r="J11"/>
  <c r="N11"/>
  <c r="O11"/>
  <c r="L7"/>
  <c r="P7"/>
  <c r="K7"/>
  <c r="M7"/>
  <c r="J7"/>
  <c r="N7"/>
  <c r="O7"/>
  <c r="K15"/>
  <c r="O15"/>
  <c r="N15"/>
  <c r="L15"/>
  <c r="P15"/>
  <c r="J15"/>
  <c r="M15"/>
  <c r="K10"/>
  <c r="O10"/>
  <c r="L10"/>
  <c r="P10"/>
  <c r="N10"/>
  <c r="M10"/>
  <c r="J10"/>
  <c r="K6"/>
  <c r="O6"/>
  <c r="J6"/>
  <c r="L6"/>
  <c r="P6"/>
  <c r="N6"/>
  <c r="M6"/>
  <c r="P13"/>
  <c r="L13"/>
  <c r="O13"/>
  <c r="K13"/>
  <c r="N13"/>
  <c r="J13"/>
  <c r="M13"/>
  <c r="J14"/>
  <c r="N14"/>
  <c r="K14"/>
  <c r="O14"/>
  <c r="L14"/>
  <c r="P14"/>
  <c r="M14"/>
  <c r="J9"/>
  <c r="N9"/>
  <c r="M9"/>
  <c r="K9"/>
  <c r="O9"/>
  <c r="L9"/>
  <c r="P9"/>
  <c r="J5"/>
  <c r="L5"/>
  <c r="M5"/>
  <c r="K5"/>
  <c r="O5"/>
  <c r="P5"/>
  <c r="N5"/>
  <c r="M17"/>
  <c r="L17"/>
  <c r="J17"/>
  <c r="N17"/>
  <c r="K17"/>
  <c r="O17"/>
  <c r="P17"/>
  <c r="M12"/>
  <c r="P12"/>
  <c r="J12"/>
  <c r="N12"/>
  <c r="L12"/>
  <c r="K12"/>
  <c r="O12"/>
  <c r="M8"/>
  <c r="J8"/>
  <c r="N8"/>
  <c r="L8"/>
  <c r="K8"/>
  <c r="O8"/>
  <c r="P8"/>
  <c r="K19"/>
  <c r="O19"/>
  <c r="L19"/>
  <c r="P19"/>
  <c r="J19"/>
  <c r="M19"/>
  <c r="N19"/>
  <c r="D5" i="20"/>
  <c r="D4"/>
  <c r="C8"/>
  <c r="K21" i="22" l="1"/>
  <c r="N21"/>
  <c r="M21"/>
  <c r="P21"/>
  <c r="L21"/>
  <c r="O21"/>
  <c r="J21"/>
  <c r="E4" i="20"/>
  <c r="E5"/>
  <c r="P68" i="25" l="1"/>
  <c r="Q68"/>
  <c r="B19" i="49"/>
  <c r="B20"/>
  <c r="B21"/>
  <c r="B22"/>
  <c r="B23"/>
  <c r="B24"/>
  <c r="B25"/>
  <c r="B26"/>
  <c r="B27"/>
  <c r="B29"/>
  <c r="B30"/>
  <c r="B32"/>
  <c r="B33"/>
  <c r="B35"/>
  <c r="B36"/>
  <c r="B38"/>
  <c r="B39"/>
  <c r="B18"/>
  <c r="D6" i="20"/>
  <c r="D7" l="1"/>
  <c r="E6"/>
  <c r="C18" i="49"/>
  <c r="H43"/>
  <c r="G43"/>
  <c r="E7" i="20" l="1"/>
  <c r="J43" i="49"/>
  <c r="E43"/>
  <c r="F43"/>
  <c r="I43"/>
  <c r="D43"/>
  <c r="J45"/>
  <c r="F45"/>
  <c r="G45"/>
  <c r="I45"/>
  <c r="E45"/>
  <c r="H45"/>
  <c r="D45"/>
  <c r="N39"/>
  <c r="J39"/>
  <c r="N36"/>
  <c r="J36"/>
  <c r="M35"/>
  <c r="P33"/>
  <c r="L33"/>
  <c r="N32"/>
  <c r="J32"/>
  <c r="N27"/>
  <c r="J27"/>
  <c r="P26"/>
  <c r="L26"/>
  <c r="N25"/>
  <c r="J25"/>
  <c r="P24"/>
  <c r="L24"/>
  <c r="N23"/>
  <c r="J23"/>
  <c r="P22"/>
  <c r="L22"/>
  <c r="N21"/>
  <c r="J21"/>
  <c r="P20"/>
  <c r="L20"/>
  <c r="N19"/>
  <c r="J19"/>
  <c r="P18"/>
  <c r="L18"/>
  <c r="K39"/>
  <c r="O36"/>
  <c r="M33"/>
  <c r="O32"/>
  <c r="K25"/>
  <c r="M24"/>
  <c r="K23"/>
  <c r="K21"/>
  <c r="M39"/>
  <c r="M36"/>
  <c r="P35"/>
  <c r="L35"/>
  <c r="O33"/>
  <c r="K33"/>
  <c r="M32"/>
  <c r="M27"/>
  <c r="O26"/>
  <c r="K26"/>
  <c r="M25"/>
  <c r="O24"/>
  <c r="K24"/>
  <c r="M23"/>
  <c r="O22"/>
  <c r="K22"/>
  <c r="M21"/>
  <c r="O20"/>
  <c r="K20"/>
  <c r="M19"/>
  <c r="O18"/>
  <c r="K18"/>
  <c r="O39"/>
  <c r="N35"/>
  <c r="K32"/>
  <c r="O27"/>
  <c r="O23"/>
  <c r="M22"/>
  <c r="O21"/>
  <c r="P39"/>
  <c r="L39"/>
  <c r="P36"/>
  <c r="L36"/>
  <c r="O35"/>
  <c r="K35"/>
  <c r="N33"/>
  <c r="J33"/>
  <c r="P32"/>
  <c r="L32"/>
  <c r="P27"/>
  <c r="L27"/>
  <c r="N26"/>
  <c r="J26"/>
  <c r="P25"/>
  <c r="L25"/>
  <c r="N24"/>
  <c r="J24"/>
  <c r="P23"/>
  <c r="L23"/>
  <c r="N22"/>
  <c r="J22"/>
  <c r="P21"/>
  <c r="L21"/>
  <c r="N20"/>
  <c r="J20"/>
  <c r="P19"/>
  <c r="L19"/>
  <c r="N18"/>
  <c r="J18"/>
  <c r="K36"/>
  <c r="J35"/>
  <c r="K27"/>
  <c r="M26"/>
  <c r="O25"/>
  <c r="O19"/>
  <c r="M18"/>
  <c r="M20"/>
  <c r="K19"/>
  <c r="E8" i="20"/>
  <c r="F39" i="49" l="1"/>
  <c r="P38"/>
  <c r="L38"/>
  <c r="H38"/>
  <c r="D38"/>
  <c r="H33"/>
  <c r="D33"/>
  <c r="F32"/>
  <c r="I30"/>
  <c r="E30"/>
  <c r="H29"/>
  <c r="D29"/>
  <c r="F27"/>
  <c r="H26"/>
  <c r="D26"/>
  <c r="F25"/>
  <c r="H24"/>
  <c r="D24"/>
  <c r="F23"/>
  <c r="H22"/>
  <c r="D22"/>
  <c r="F21"/>
  <c r="H20"/>
  <c r="D20"/>
  <c r="F19"/>
  <c r="H18"/>
  <c r="D18"/>
  <c r="M38"/>
  <c r="C32"/>
  <c r="E29"/>
  <c r="G27"/>
  <c r="I26"/>
  <c r="E24"/>
  <c r="C23"/>
  <c r="I22"/>
  <c r="E22"/>
  <c r="I39"/>
  <c r="E39"/>
  <c r="O38"/>
  <c r="K38"/>
  <c r="G38"/>
  <c r="C38"/>
  <c r="G33"/>
  <c r="C33"/>
  <c r="I32"/>
  <c r="E32"/>
  <c r="H30"/>
  <c r="D30"/>
  <c r="G29"/>
  <c r="C29"/>
  <c r="I27"/>
  <c r="E27"/>
  <c r="G26"/>
  <c r="C26"/>
  <c r="I25"/>
  <c r="E25"/>
  <c r="G24"/>
  <c r="C24"/>
  <c r="I23"/>
  <c r="E23"/>
  <c r="G22"/>
  <c r="C22"/>
  <c r="I21"/>
  <c r="E21"/>
  <c r="G20"/>
  <c r="C20"/>
  <c r="I19"/>
  <c r="E19"/>
  <c r="G18"/>
  <c r="C39"/>
  <c r="E38"/>
  <c r="I33"/>
  <c r="F30"/>
  <c r="C27"/>
  <c r="E26"/>
  <c r="G25"/>
  <c r="C25"/>
  <c r="I24"/>
  <c r="G23"/>
  <c r="G21"/>
  <c r="H39"/>
  <c r="D39"/>
  <c r="N38"/>
  <c r="J38"/>
  <c r="F38"/>
  <c r="F33"/>
  <c r="H32"/>
  <c r="D32"/>
  <c r="G30"/>
  <c r="C30"/>
  <c r="F29"/>
  <c r="H27"/>
  <c r="D27"/>
  <c r="F26"/>
  <c r="H25"/>
  <c r="D25"/>
  <c r="F24"/>
  <c r="H23"/>
  <c r="D23"/>
  <c r="F22"/>
  <c r="H21"/>
  <c r="D21"/>
  <c r="F20"/>
  <c r="H19"/>
  <c r="D19"/>
  <c r="F18"/>
  <c r="G39"/>
  <c r="I38"/>
  <c r="E33"/>
  <c r="G32"/>
  <c r="I29"/>
  <c r="C21"/>
  <c r="I18"/>
  <c r="E20"/>
  <c r="I20"/>
  <c r="G19"/>
  <c r="E18"/>
  <c r="C19"/>
  <c r="I9" l="1"/>
  <c r="H9"/>
  <c r="F9"/>
  <c r="G9"/>
  <c r="J9"/>
  <c r="L9"/>
  <c r="K9"/>
  <c r="C7" i="44" l="1"/>
  <c r="B7" s="1"/>
  <c r="C23" i="46" l="1"/>
  <c r="C18"/>
  <c r="B27" s="1"/>
  <c r="C22" l="1"/>
  <c r="B22" s="1"/>
  <c r="B23"/>
  <c r="C25"/>
  <c r="B25" s="1"/>
  <c r="C24"/>
  <c r="B24" s="1"/>
  <c r="C26"/>
  <c r="B26" s="1"/>
  <c r="C21" l="1"/>
  <c r="C28" s="1"/>
  <c r="G59"/>
  <c r="D59"/>
  <c r="H59"/>
  <c r="J59"/>
  <c r="E59"/>
  <c r="I59"/>
  <c r="F59"/>
  <c r="F61"/>
  <c r="J61"/>
  <c r="I61"/>
  <c r="G61"/>
  <c r="D61"/>
  <c r="H61"/>
  <c r="E61"/>
  <c r="N55"/>
  <c r="N52"/>
  <c r="K51"/>
  <c r="O51"/>
  <c r="L49"/>
  <c r="P49"/>
  <c r="M48"/>
  <c r="J48"/>
  <c r="N36"/>
  <c r="L37"/>
  <c r="P37"/>
  <c r="N38"/>
  <c r="L39"/>
  <c r="P39"/>
  <c r="N40"/>
  <c r="L41"/>
  <c r="P41"/>
  <c r="N42"/>
  <c r="L43"/>
  <c r="P43"/>
  <c r="J40"/>
  <c r="J36"/>
  <c r="N35"/>
  <c r="L34"/>
  <c r="P34"/>
  <c r="J55"/>
  <c r="M52"/>
  <c r="K49"/>
  <c r="P48"/>
  <c r="M36"/>
  <c r="M38"/>
  <c r="M40"/>
  <c r="K43"/>
  <c r="J37"/>
  <c r="O34"/>
  <c r="K55"/>
  <c r="O55"/>
  <c r="K52"/>
  <c r="O52"/>
  <c r="L51"/>
  <c r="P51"/>
  <c r="M49"/>
  <c r="J49"/>
  <c r="N48"/>
  <c r="K36"/>
  <c r="O36"/>
  <c r="M37"/>
  <c r="K38"/>
  <c r="O38"/>
  <c r="M39"/>
  <c r="K40"/>
  <c r="O40"/>
  <c r="M41"/>
  <c r="K42"/>
  <c r="O42"/>
  <c r="M43"/>
  <c r="J43"/>
  <c r="J39"/>
  <c r="K35"/>
  <c r="O35"/>
  <c r="M34"/>
  <c r="J34"/>
  <c r="N51"/>
  <c r="L48"/>
  <c r="K37"/>
  <c r="K39"/>
  <c r="O41"/>
  <c r="O43"/>
  <c r="M35"/>
  <c r="K34"/>
  <c r="L55"/>
  <c r="P55"/>
  <c r="L52"/>
  <c r="P52"/>
  <c r="M51"/>
  <c r="J51"/>
  <c r="N49"/>
  <c r="K48"/>
  <c r="O48"/>
  <c r="L36"/>
  <c r="P36"/>
  <c r="N37"/>
  <c r="L38"/>
  <c r="P38"/>
  <c r="N39"/>
  <c r="L40"/>
  <c r="P40"/>
  <c r="N41"/>
  <c r="L42"/>
  <c r="P42"/>
  <c r="N43"/>
  <c r="J42"/>
  <c r="J38"/>
  <c r="L35"/>
  <c r="P35"/>
  <c r="N34"/>
  <c r="M55"/>
  <c r="J52"/>
  <c r="O49"/>
  <c r="O37"/>
  <c r="O39"/>
  <c r="K41"/>
  <c r="M42"/>
  <c r="J41"/>
  <c r="J35"/>
  <c r="B21" l="1"/>
  <c r="B28" l="1"/>
  <c r="K54"/>
  <c r="F54"/>
  <c r="H48"/>
  <c r="C45"/>
  <c r="D37"/>
  <c r="H39"/>
  <c r="F42"/>
  <c r="C38"/>
  <c r="G48"/>
  <c r="G39"/>
  <c r="P54"/>
  <c r="I49"/>
  <c r="F46"/>
  <c r="I35"/>
  <c r="G38"/>
  <c r="E41"/>
  <c r="I43"/>
  <c r="N54"/>
  <c r="E36"/>
  <c r="G43"/>
  <c r="G55"/>
  <c r="H49"/>
  <c r="D45"/>
  <c r="H36"/>
  <c r="F39"/>
  <c r="D42"/>
  <c r="C40"/>
  <c r="D55"/>
  <c r="I45"/>
  <c r="I42"/>
  <c r="F49"/>
  <c r="H35"/>
  <c r="F38"/>
  <c r="H43"/>
  <c r="G35"/>
  <c r="C55"/>
  <c r="G45"/>
  <c r="I39"/>
  <c r="C49"/>
  <c r="M54"/>
  <c r="F35"/>
  <c r="D38"/>
  <c r="F43"/>
  <c r="I38"/>
  <c r="I55"/>
  <c r="F45"/>
  <c r="D39"/>
  <c r="C42"/>
  <c r="G37"/>
  <c r="G54"/>
  <c r="I48"/>
  <c r="G40"/>
  <c r="G34"/>
  <c r="E42"/>
  <c r="D49"/>
  <c r="D36"/>
  <c r="H38"/>
  <c r="C37"/>
  <c r="D46"/>
  <c r="O54"/>
  <c r="C54"/>
  <c r="E46"/>
  <c r="D35"/>
  <c r="H37"/>
  <c r="F40"/>
  <c r="D43"/>
  <c r="F34"/>
  <c r="H46"/>
  <c r="G41"/>
  <c r="F55"/>
  <c r="G49"/>
  <c r="C46"/>
  <c r="G36"/>
  <c r="E39"/>
  <c r="I41"/>
  <c r="C41"/>
  <c r="I54"/>
  <c r="E38"/>
  <c r="I34"/>
  <c r="D54"/>
  <c r="F48"/>
  <c r="H45"/>
  <c r="F37"/>
  <c r="D40"/>
  <c r="H42"/>
  <c r="C35"/>
  <c r="E54"/>
  <c r="I36"/>
  <c r="C39"/>
  <c r="E55"/>
  <c r="I46"/>
  <c r="D41"/>
  <c r="C34"/>
  <c r="C43"/>
  <c r="E48"/>
  <c r="E37"/>
  <c r="G42"/>
  <c r="C36"/>
  <c r="E40"/>
  <c r="H54"/>
  <c r="C48"/>
  <c r="H40"/>
  <c r="D34"/>
  <c r="E49"/>
  <c r="E34"/>
  <c r="D48"/>
  <c r="F36"/>
  <c r="H41"/>
  <c r="H55"/>
  <c r="L54"/>
  <c r="E35"/>
  <c r="I37"/>
  <c r="E43"/>
  <c r="E45"/>
  <c r="J54"/>
  <c r="G46"/>
  <c r="F41"/>
  <c r="H34"/>
  <c r="I40"/>
  <c r="G18" l="1"/>
  <c r="I18"/>
  <c r="K18"/>
  <c r="H18"/>
  <c r="F18"/>
  <c r="J18"/>
  <c r="L18"/>
  <c r="B16" i="44" l="1"/>
  <c r="B77" i="33" l="1"/>
  <c r="B76"/>
  <c r="B29"/>
  <c r="B11" l="1"/>
  <c r="B10"/>
  <c r="B73" l="1"/>
  <c r="B49" i="44" s="1"/>
  <c r="B71" i="33"/>
  <c r="B47" i="44" s="1"/>
  <c r="B67" i="33"/>
  <c r="B43" i="44" s="1"/>
  <c r="B66" i="33"/>
  <c r="B42" i="44" s="1"/>
  <c r="B64" i="33"/>
  <c r="B40" i="44" s="1"/>
  <c r="B63" i="33"/>
  <c r="B39" i="44" s="1"/>
  <c r="B61" i="33"/>
  <c r="B37" i="44" s="1"/>
  <c r="B60" i="33"/>
  <c r="B36" i="44" s="1"/>
  <c r="B58" i="33"/>
  <c r="B34" i="44" s="1"/>
  <c r="B57" i="33"/>
  <c r="B33" i="44" s="1"/>
  <c r="B47" i="33"/>
  <c r="B23" i="44" s="1"/>
  <c r="B48" i="33"/>
  <c r="B24" i="44" s="1"/>
  <c r="B49" i="33"/>
  <c r="B25" i="44" s="1"/>
  <c r="B50" i="33"/>
  <c r="B26" i="44" s="1"/>
  <c r="B51" i="33"/>
  <c r="B27" i="44" s="1"/>
  <c r="B52" i="33"/>
  <c r="B28" i="44" s="1"/>
  <c r="B53" i="33"/>
  <c r="B29" i="44" s="1"/>
  <c r="B54" i="33"/>
  <c r="B30" i="44" s="1"/>
  <c r="B55" i="33"/>
  <c r="B31" i="44" s="1"/>
  <c r="B46" i="33"/>
  <c r="B22" i="44" s="1"/>
  <c r="B35" i="33"/>
  <c r="D71" s="1"/>
  <c r="B9" l="1"/>
  <c r="C15" l="1"/>
  <c r="B8" l="1"/>
  <c r="B5"/>
  <c r="B6"/>
  <c r="D11" i="25" l="1"/>
  <c r="O45"/>
  <c r="N45"/>
  <c r="G52"/>
  <c r="F52"/>
  <c r="E52"/>
  <c r="D52"/>
  <c r="D51"/>
  <c r="G50"/>
  <c r="F50"/>
  <c r="Q12"/>
  <c r="R12" s="1"/>
  <c r="O12"/>
  <c r="N12"/>
  <c r="Q11"/>
  <c r="O11"/>
  <c r="N11"/>
  <c r="G11"/>
  <c r="F11"/>
  <c r="E11"/>
  <c r="C11"/>
  <c r="Q9"/>
  <c r="R9" s="1"/>
  <c r="O9"/>
  <c r="N9"/>
  <c r="H9"/>
  <c r="Q8"/>
  <c r="R8" s="1"/>
  <c r="O8"/>
  <c r="N8"/>
  <c r="H8"/>
  <c r="R7"/>
  <c r="H7"/>
  <c r="Q6"/>
  <c r="R6" s="1"/>
  <c r="H6"/>
  <c r="Q5"/>
  <c r="R5" s="1"/>
  <c r="H5"/>
  <c r="F15" l="1"/>
  <c r="C15"/>
  <c r="D15"/>
  <c r="G15"/>
  <c r="H4"/>
  <c r="H11" s="1"/>
  <c r="R11"/>
  <c r="E15"/>
  <c r="H15" l="1"/>
  <c r="E17" s="1"/>
  <c r="E19" l="1"/>
  <c r="E27" s="1"/>
  <c r="E31" s="1"/>
  <c r="E18"/>
  <c r="E26" s="1"/>
  <c r="E20"/>
  <c r="E28" s="1"/>
  <c r="E32" s="1"/>
  <c r="G17"/>
  <c r="G19" s="1"/>
  <c r="G27" s="1"/>
  <c r="G31" s="1"/>
  <c r="F28"/>
  <c r="F32" s="1"/>
  <c r="D27"/>
  <c r="D31" s="1"/>
  <c r="F26"/>
  <c r="D28"/>
  <c r="D32" s="1"/>
  <c r="G26"/>
  <c r="G28"/>
  <c r="G32" s="1"/>
  <c r="D17"/>
  <c r="D18" s="1"/>
  <c r="D26" s="1"/>
  <c r="F17"/>
  <c r="F19" s="1"/>
  <c r="F27" s="1"/>
  <c r="F31" s="1"/>
  <c r="C17"/>
  <c r="D30" l="1"/>
  <c r="D54" s="1"/>
  <c r="D25"/>
  <c r="F30"/>
  <c r="F34" s="1"/>
  <c r="F25"/>
  <c r="E30"/>
  <c r="E54" s="1"/>
  <c r="E25"/>
  <c r="G30"/>
  <c r="G34" s="1"/>
  <c r="G25"/>
  <c r="F39"/>
  <c r="F55"/>
  <c r="F43"/>
  <c r="F59"/>
  <c r="F47"/>
  <c r="F51" s="1"/>
  <c r="F35"/>
  <c r="G43"/>
  <c r="G39"/>
  <c r="G59"/>
  <c r="G47"/>
  <c r="G51" s="1"/>
  <c r="G55"/>
  <c r="G35"/>
  <c r="E46"/>
  <c r="E50" s="1"/>
  <c r="C20"/>
  <c r="C19"/>
  <c r="C18"/>
  <c r="H17"/>
  <c r="F36"/>
  <c r="F60"/>
  <c r="D60"/>
  <c r="D36"/>
  <c r="F58"/>
  <c r="E55"/>
  <c r="E35"/>
  <c r="E39"/>
  <c r="E59"/>
  <c r="E47"/>
  <c r="E51" s="1"/>
  <c r="E43"/>
  <c r="E60"/>
  <c r="E36"/>
  <c r="D34"/>
  <c r="G36"/>
  <c r="G60"/>
  <c r="D59"/>
  <c r="D35"/>
  <c r="G58" l="1"/>
  <c r="D58"/>
  <c r="E58"/>
  <c r="D38"/>
  <c r="D46"/>
  <c r="D50" s="1"/>
  <c r="E34"/>
  <c r="E38"/>
  <c r="D42"/>
  <c r="E42"/>
  <c r="H18"/>
  <c r="C26"/>
  <c r="C27"/>
  <c r="H19"/>
  <c r="H20"/>
  <c r="C28"/>
  <c r="C25" l="1"/>
  <c r="H27"/>
  <c r="C31"/>
  <c r="C30"/>
  <c r="H30" s="1"/>
  <c r="H26"/>
  <c r="H25" s="1"/>
  <c r="C32"/>
  <c r="H28"/>
  <c r="L25" l="1"/>
  <c r="N25" s="1"/>
  <c r="C58"/>
  <c r="C42"/>
  <c r="C54"/>
  <c r="C46"/>
  <c r="C34"/>
  <c r="C38"/>
  <c r="C47"/>
  <c r="C59"/>
  <c r="C55"/>
  <c r="H31"/>
  <c r="L26" s="1"/>
  <c r="N26" s="1"/>
  <c r="O26" s="1"/>
  <c r="C43"/>
  <c r="C39"/>
  <c r="C35"/>
  <c r="C40"/>
  <c r="C56"/>
  <c r="C44"/>
  <c r="C36"/>
  <c r="C60"/>
  <c r="C48"/>
  <c r="H32"/>
  <c r="L27" s="1"/>
  <c r="N27" s="1"/>
  <c r="O27" s="1"/>
  <c r="L28" l="1"/>
  <c r="H29"/>
  <c r="H56"/>
  <c r="I56"/>
  <c r="C50"/>
  <c r="I46"/>
  <c r="H46"/>
  <c r="I36"/>
  <c r="H36"/>
  <c r="I55"/>
  <c r="H55"/>
  <c r="H38"/>
  <c r="I38"/>
  <c r="I42"/>
  <c r="H42"/>
  <c r="C52"/>
  <c r="I48"/>
  <c r="H48"/>
  <c r="H43"/>
  <c r="I43"/>
  <c r="H47"/>
  <c r="I47"/>
  <c r="C51"/>
  <c r="I60"/>
  <c r="H60"/>
  <c r="H40"/>
  <c r="I40"/>
  <c r="I54"/>
  <c r="H54"/>
  <c r="I35"/>
  <c r="H35"/>
  <c r="H44"/>
  <c r="I44"/>
  <c r="I39"/>
  <c r="H39"/>
  <c r="H59"/>
  <c r="I59"/>
  <c r="H34"/>
  <c r="I34"/>
  <c r="H58"/>
  <c r="I58"/>
  <c r="N28" l="1"/>
  <c r="O25"/>
  <c r="H53"/>
  <c r="O20" s="1"/>
  <c r="H57"/>
  <c r="P20" s="1"/>
  <c r="H52"/>
  <c r="I52"/>
  <c r="H37"/>
  <c r="R20" s="1"/>
  <c r="H50"/>
  <c r="I50"/>
  <c r="H33"/>
  <c r="N20" s="1"/>
  <c r="I51"/>
  <c r="H51"/>
  <c r="H41"/>
  <c r="Q20" s="1"/>
  <c r="H45"/>
  <c r="M20" s="1"/>
  <c r="R21" l="1"/>
  <c r="R22" s="1"/>
  <c r="R23" s="1"/>
  <c r="R24" s="1"/>
  <c r="O21"/>
  <c r="O22" s="1"/>
  <c r="M21"/>
  <c r="M22" s="1"/>
  <c r="P21"/>
  <c r="P22" s="1"/>
  <c r="P23" s="1"/>
  <c r="P24" s="1"/>
  <c r="P25" s="1"/>
  <c r="N21"/>
  <c r="N22" s="1"/>
  <c r="Q21"/>
  <c r="Q22" s="1"/>
  <c r="Q23" s="1"/>
  <c r="Q24" s="1"/>
  <c r="Q25" s="1"/>
  <c r="O28"/>
  <c r="H49"/>
  <c r="L20" s="1"/>
  <c r="L21" l="1"/>
  <c r="L22" s="1"/>
  <c r="R25"/>
  <c r="B50" i="44" l="1"/>
  <c r="C28" s="1"/>
  <c r="C22" l="1"/>
  <c r="C40"/>
  <c r="C43"/>
  <c r="C26"/>
  <c r="C42"/>
  <c r="C33"/>
  <c r="C49"/>
  <c r="C29"/>
  <c r="C27"/>
  <c r="C34"/>
  <c r="C47"/>
  <c r="C39"/>
  <c r="C36"/>
  <c r="C37"/>
  <c r="C23"/>
  <c r="C31"/>
  <c r="C30"/>
  <c r="C25"/>
  <c r="C24"/>
  <c r="C50" l="1"/>
  <c r="E71" i="33" l="1"/>
  <c r="F71"/>
  <c r="G71"/>
  <c r="H71"/>
  <c r="I71"/>
  <c r="J71"/>
  <c r="B74" l="1"/>
  <c r="C46" s="1"/>
  <c r="C53" l="1"/>
  <c r="C47"/>
  <c r="C49"/>
  <c r="C55"/>
  <c r="C50"/>
  <c r="C48"/>
  <c r="C73"/>
  <c r="C54"/>
  <c r="C52"/>
  <c r="C71"/>
  <c r="C51"/>
  <c r="I20" i="22" l="1"/>
  <c r="I21" l="1"/>
  <c r="C31"/>
  <c r="C63" i="33"/>
  <c r="C61"/>
  <c r="C64"/>
  <c r="C58"/>
  <c r="C67"/>
  <c r="C60"/>
  <c r="C57"/>
  <c r="C66"/>
  <c r="C74" l="1"/>
  <c r="X6" i="31" l="1"/>
  <c r="U6" s="1"/>
  <c r="AX6" s="1"/>
  <c r="X5"/>
  <c r="U5" s="1"/>
  <c r="AV5" s="1"/>
  <c r="AX5" l="1"/>
  <c r="AT5"/>
  <c r="AV11" l="1"/>
  <c r="AW11"/>
  <c r="AX11"/>
  <c r="AY11"/>
  <c r="AZ11"/>
  <c r="BA11"/>
  <c r="BB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U11" l="1"/>
  <c r="AO11" l="1"/>
  <c r="U13"/>
  <c r="AT11"/>
  <c r="AP11"/>
  <c r="AR11"/>
  <c r="AN11"/>
  <c r="AS11"/>
  <c r="AQ11"/>
  <c r="AU13"/>
  <c r="C11" l="1"/>
  <c r="CI9" l="1"/>
  <c r="CH9"/>
  <c r="CG9"/>
  <c r="CF9"/>
  <c r="CE9"/>
  <c r="CD9"/>
  <c r="CC9"/>
  <c r="CB9"/>
  <c r="CA9"/>
  <c r="BZ9"/>
  <c r="BY9"/>
  <c r="BW9"/>
  <c r="BV9"/>
  <c r="BU9"/>
  <c r="BT9"/>
  <c r="BS9"/>
  <c r="BR9"/>
  <c r="BQ9"/>
  <c r="BP9"/>
  <c r="BO9"/>
  <c r="BN9"/>
  <c r="AM9"/>
  <c r="X9"/>
  <c r="BX9" s="1"/>
  <c r="W9"/>
  <c r="V9"/>
  <c r="C9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B8"/>
  <c r="BA8"/>
  <c r="AZ8"/>
  <c r="AY8"/>
  <c r="AX8"/>
  <c r="AW8"/>
  <c r="AV8"/>
  <c r="AM8"/>
  <c r="AL8"/>
  <c r="AK8"/>
  <c r="AJ8"/>
  <c r="AI8"/>
  <c r="AH8"/>
  <c r="AG8"/>
  <c r="AF8"/>
  <c r="AE8"/>
  <c r="AD8"/>
  <c r="AC8"/>
  <c r="AB8"/>
  <c r="AA8"/>
  <c r="Z8"/>
  <c r="Y8"/>
  <c r="X8"/>
  <c r="W8"/>
  <c r="V8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B7"/>
  <c r="BA7"/>
  <c r="AZ7"/>
  <c r="AY7"/>
  <c r="AX7"/>
  <c r="AW7"/>
  <c r="AV7"/>
  <c r="AM7"/>
  <c r="AL7"/>
  <c r="AK7"/>
  <c r="AJ7"/>
  <c r="AI7"/>
  <c r="AH7"/>
  <c r="AG7"/>
  <c r="AF7"/>
  <c r="AE7"/>
  <c r="AD7"/>
  <c r="AC7"/>
  <c r="AB7"/>
  <c r="AA7"/>
  <c r="Z7"/>
  <c r="Y7"/>
  <c r="X7"/>
  <c r="W7"/>
  <c r="V7"/>
  <c r="C7"/>
  <c r="U7" l="1"/>
  <c r="U8"/>
  <c r="AQ8" s="1"/>
  <c r="Z9"/>
  <c r="AB9"/>
  <c r="AD9"/>
  <c r="AF9"/>
  <c r="AH9"/>
  <c r="AJ9"/>
  <c r="AL9"/>
  <c r="Y9"/>
  <c r="AA9"/>
  <c r="AC9"/>
  <c r="AE9"/>
  <c r="AG9"/>
  <c r="AI9"/>
  <c r="AK9"/>
  <c r="U9"/>
  <c r="AS8"/>
  <c r="BB66"/>
  <c r="AZ66"/>
  <c r="BA66" s="1"/>
  <c r="AY66"/>
  <c r="AX66"/>
  <c r="BB65"/>
  <c r="AZ65"/>
  <c r="BA65" s="1"/>
  <c r="AY65"/>
  <c r="AX65"/>
  <c r="BB64"/>
  <c r="BA64"/>
  <c r="AZ64"/>
  <c r="AX64"/>
  <c r="BB63"/>
  <c r="BA63"/>
  <c r="AY63"/>
  <c r="AX63"/>
  <c r="BB62"/>
  <c r="BA62"/>
  <c r="AZ62"/>
  <c r="AY62"/>
  <c r="AX62"/>
  <c r="BB61"/>
  <c r="AZ61"/>
  <c r="BA61" s="1"/>
  <c r="AY61"/>
  <c r="AX61"/>
  <c r="CJ13"/>
  <c r="CI13"/>
  <c r="CH13"/>
  <c r="CG13"/>
  <c r="CF13"/>
  <c r="CE13"/>
  <c r="CD13"/>
  <c r="CK13" s="1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T13"/>
  <c r="CI11"/>
  <c r="CH11"/>
  <c r="CG11"/>
  <c r="CF11"/>
  <c r="CE11"/>
  <c r="CD11"/>
  <c r="CC11"/>
  <c r="CB11"/>
  <c r="CA11"/>
  <c r="BZ11"/>
  <c r="BX11"/>
  <c r="BW11"/>
  <c r="BV11"/>
  <c r="BU11"/>
  <c r="BT11"/>
  <c r="BS11"/>
  <c r="BR11"/>
  <c r="BQ11"/>
  <c r="BP11"/>
  <c r="BO11"/>
  <c r="BN11"/>
  <c r="AM13"/>
  <c r="X13"/>
  <c r="W13"/>
  <c r="V13"/>
  <c r="CI10"/>
  <c r="CH10"/>
  <c r="CG10"/>
  <c r="CF10"/>
  <c r="CE10"/>
  <c r="CD10"/>
  <c r="CC10"/>
  <c r="CB10"/>
  <c r="CA10"/>
  <c r="BY10"/>
  <c r="BW10"/>
  <c r="BV10"/>
  <c r="BU10"/>
  <c r="BT10"/>
  <c r="BS10"/>
  <c r="BR10"/>
  <c r="BQ10"/>
  <c r="BP10"/>
  <c r="BO10"/>
  <c r="BN10"/>
  <c r="AM10"/>
  <c r="X10"/>
  <c r="BX10" s="1"/>
  <c r="W10"/>
  <c r="V10"/>
  <c r="C10"/>
  <c r="B7" s="1"/>
  <c r="CI6"/>
  <c r="CH6"/>
  <c r="CG6"/>
  <c r="CF6"/>
  <c r="CE6"/>
  <c r="CD6"/>
  <c r="CC6"/>
  <c r="CB6"/>
  <c r="CA6"/>
  <c r="BZ6"/>
  <c r="BY6"/>
  <c r="BW6"/>
  <c r="BV6"/>
  <c r="BU6"/>
  <c r="BT6"/>
  <c r="BS6"/>
  <c r="BR6"/>
  <c r="BQ6"/>
  <c r="BP6"/>
  <c r="BO6"/>
  <c r="BN6"/>
  <c r="AM6"/>
  <c r="W6"/>
  <c r="V6"/>
  <c r="C6"/>
  <c r="CI5"/>
  <c r="CH5"/>
  <c r="CG5"/>
  <c r="CF5"/>
  <c r="CE5"/>
  <c r="CD5"/>
  <c r="CC5"/>
  <c r="CB5"/>
  <c r="CA5"/>
  <c r="BZ5"/>
  <c r="BW5"/>
  <c r="BV5"/>
  <c r="BU5"/>
  <c r="BT5"/>
  <c r="BS5"/>
  <c r="BR5"/>
  <c r="BQ5"/>
  <c r="BP5"/>
  <c r="BO5"/>
  <c r="BN5"/>
  <c r="AM5"/>
  <c r="AE5"/>
  <c r="AD5"/>
  <c r="AC5"/>
  <c r="AB5"/>
  <c r="AA5"/>
  <c r="Z5"/>
  <c r="W5"/>
  <c r="Y5" s="1"/>
  <c r="V5"/>
  <c r="C5"/>
  <c r="AY4"/>
  <c r="AZ4" s="1"/>
  <c r="BA4" s="1"/>
  <c r="BB4" s="1"/>
  <c r="BC4" s="1"/>
  <c r="BD4" s="1"/>
  <c r="BE4" s="1"/>
  <c r="BF4" s="1"/>
  <c r="BG4" s="1"/>
  <c r="BH4" s="1"/>
  <c r="BI4" s="1"/>
  <c r="BJ4" s="1"/>
  <c r="BK4" s="1"/>
  <c r="AT7" l="1"/>
  <c r="AR8"/>
  <c r="AN7"/>
  <c r="AR7"/>
  <c r="AQ7"/>
  <c r="AN8"/>
  <c r="AO8"/>
  <c r="AP7"/>
  <c r="AS7"/>
  <c r="AO7"/>
  <c r="AP8"/>
  <c r="AT8"/>
  <c r="BX5"/>
  <c r="BY5"/>
  <c r="AG10"/>
  <c r="Y10"/>
  <c r="AC10"/>
  <c r="AK10"/>
  <c r="AA10"/>
  <c r="AE10"/>
  <c r="AI10"/>
  <c r="BZ10"/>
  <c r="AS9"/>
  <c r="BA9"/>
  <c r="AY9"/>
  <c r="AW9"/>
  <c r="BB9"/>
  <c r="AZ9"/>
  <c r="AX9"/>
  <c r="AV9"/>
  <c r="AR9"/>
  <c r="AN9"/>
  <c r="AO9"/>
  <c r="AP9"/>
  <c r="AT9"/>
  <c r="AQ9"/>
  <c r="U10"/>
  <c r="BB10" s="1"/>
  <c r="B9"/>
  <c r="B6"/>
  <c r="B10"/>
  <c r="AQ6"/>
  <c r="AI5"/>
  <c r="BB5"/>
  <c r="AG5"/>
  <c r="AK5"/>
  <c r="AZ5"/>
  <c r="BB6"/>
  <c r="AZ6"/>
  <c r="AV6"/>
  <c r="AS6"/>
  <c r="BA6"/>
  <c r="AY6"/>
  <c r="AK6"/>
  <c r="AI6"/>
  <c r="AG6"/>
  <c r="AE6"/>
  <c r="AC6"/>
  <c r="AA6"/>
  <c r="Y6"/>
  <c r="BX6"/>
  <c r="AB6"/>
  <c r="AF6"/>
  <c r="AJ6"/>
  <c r="Z6"/>
  <c r="AD6"/>
  <c r="AH6"/>
  <c r="AL6"/>
  <c r="AR6"/>
  <c r="AW6"/>
  <c r="BA5"/>
  <c r="AW5"/>
  <c r="AF5"/>
  <c r="AH5"/>
  <c r="AJ5"/>
  <c r="AL5"/>
  <c r="Z10"/>
  <c r="AB10"/>
  <c r="AD10"/>
  <c r="AF10"/>
  <c r="AH10"/>
  <c r="AJ10"/>
  <c r="AL10"/>
  <c r="BA10"/>
  <c r="Y13"/>
  <c r="AA13"/>
  <c r="AC13"/>
  <c r="AE13"/>
  <c r="AG13"/>
  <c r="AI13"/>
  <c r="AK13"/>
  <c r="AZ10"/>
  <c r="Z13"/>
  <c r="AB13"/>
  <c r="AD13"/>
  <c r="AF13"/>
  <c r="AH13"/>
  <c r="AJ13"/>
  <c r="AL13"/>
  <c r="AN10" l="1"/>
  <c r="AV10"/>
  <c r="AW10"/>
  <c r="AW13" s="1"/>
  <c r="AX10"/>
  <c r="AQ10"/>
  <c r="AY10"/>
  <c r="AR10"/>
  <c r="AS10"/>
  <c r="AO10"/>
  <c r="AT10"/>
  <c r="AP10"/>
  <c r="AP6"/>
  <c r="AO6"/>
  <c r="AY5"/>
  <c r="AR5"/>
  <c r="AN5"/>
  <c r="AO5"/>
  <c r="AP5"/>
  <c r="AN6"/>
  <c r="AS5"/>
  <c r="AT6"/>
  <c r="AQ5"/>
  <c r="BA13"/>
  <c r="AT13"/>
  <c r="AR13"/>
  <c r="AP13"/>
  <c r="AN13"/>
  <c r="BY11"/>
  <c r="BB13"/>
  <c r="AZ13"/>
  <c r="AS13"/>
  <c r="AQ13"/>
  <c r="AO13"/>
  <c r="AX13" l="1"/>
  <c r="AV13"/>
  <c r="AY13"/>
  <c r="AX6" i="29" l="1"/>
  <c r="CJ14"/>
  <c r="BM14"/>
  <c r="BL14"/>
  <c r="BK14"/>
  <c r="BJ14"/>
  <c r="BI14"/>
  <c r="BH14"/>
  <c r="BG14"/>
  <c r="BF14"/>
  <c r="BB14"/>
  <c r="BA14"/>
  <c r="AZ14"/>
  <c r="AY14"/>
  <c r="AU14"/>
  <c r="T14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E13"/>
  <c r="BB13"/>
  <c r="BA13"/>
  <c r="AZ13"/>
  <c r="AY13"/>
  <c r="AX13"/>
  <c r="AW13"/>
  <c r="AV13"/>
  <c r="AU13"/>
  <c r="AT13"/>
  <c r="AS13"/>
  <c r="AR13"/>
  <c r="AQ13"/>
  <c r="AP13"/>
  <c r="AO13"/>
  <c r="AN13"/>
  <c r="AM13"/>
  <c r="AE13"/>
  <c r="AD13"/>
  <c r="AC13"/>
  <c r="AB13"/>
  <c r="AA13"/>
  <c r="Z13"/>
  <c r="Y13"/>
  <c r="X13"/>
  <c r="W13"/>
  <c r="V13"/>
  <c r="U13"/>
  <c r="L13"/>
  <c r="K13"/>
  <c r="J13"/>
  <c r="I13"/>
  <c r="H13"/>
  <c r="G13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S12"/>
  <c r="M12"/>
  <c r="C12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S11"/>
  <c r="M11"/>
  <c r="C11"/>
  <c r="CI10"/>
  <c r="CH10"/>
  <c r="CG10"/>
  <c r="CF10"/>
  <c r="CE10"/>
  <c r="CD10"/>
  <c r="CC10"/>
  <c r="CB10"/>
  <c r="CA10"/>
  <c r="BZ10"/>
  <c r="BY10"/>
  <c r="BX10"/>
  <c r="BW10"/>
  <c r="BV10"/>
  <c r="BU10"/>
  <c r="BU14" s="1"/>
  <c r="BT10"/>
  <c r="BS10"/>
  <c r="BR10"/>
  <c r="BQ10"/>
  <c r="BQ14" s="1"/>
  <c r="BP10"/>
  <c r="BO10"/>
  <c r="B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S10"/>
  <c r="M10"/>
  <c r="C10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AM9"/>
  <c r="AL9"/>
  <c r="AK9"/>
  <c r="AJ9"/>
  <c r="AI9"/>
  <c r="AH9"/>
  <c r="AG9"/>
  <c r="AF9"/>
  <c r="AE9"/>
  <c r="AD9"/>
  <c r="AC9"/>
  <c r="AB9"/>
  <c r="AA9"/>
  <c r="Z9"/>
  <c r="Y9"/>
  <c r="X9"/>
  <c r="W9"/>
  <c r="V9"/>
  <c r="S9"/>
  <c r="M9"/>
  <c r="C9"/>
  <c r="CI8"/>
  <c r="CH8"/>
  <c r="CG8"/>
  <c r="CF8"/>
  <c r="CE8"/>
  <c r="CD8"/>
  <c r="CC8"/>
  <c r="CB8"/>
  <c r="CA8"/>
  <c r="BZ8"/>
  <c r="BX8"/>
  <c r="BW8"/>
  <c r="BV8"/>
  <c r="BU8"/>
  <c r="BT8"/>
  <c r="BS8"/>
  <c r="BR8"/>
  <c r="BQ8"/>
  <c r="BP8"/>
  <c r="BO8"/>
  <c r="BN8"/>
  <c r="AM8"/>
  <c r="X8"/>
  <c r="AL8" s="1"/>
  <c r="W8"/>
  <c r="V8"/>
  <c r="S8"/>
  <c r="M8"/>
  <c r="C8"/>
  <c r="B9" s="1"/>
  <c r="CI7"/>
  <c r="CH7"/>
  <c r="CG7"/>
  <c r="CF7"/>
  <c r="CE7"/>
  <c r="CD7"/>
  <c r="CC7"/>
  <c r="CB7"/>
  <c r="CA7"/>
  <c r="BZ7"/>
  <c r="BX7"/>
  <c r="BW7"/>
  <c r="BV7"/>
  <c r="BU7"/>
  <c r="BT7"/>
  <c r="BS7"/>
  <c r="BR7"/>
  <c r="BQ7"/>
  <c r="BP7"/>
  <c r="BO7"/>
  <c r="BN7"/>
  <c r="AM7"/>
  <c r="X7"/>
  <c r="Y7" s="1"/>
  <c r="W7"/>
  <c r="V7"/>
  <c r="S7"/>
  <c r="M7"/>
  <c r="C7"/>
  <c r="B7" s="1"/>
  <c r="CI6"/>
  <c r="CH6"/>
  <c r="CG6"/>
  <c r="CF6"/>
  <c r="CE6"/>
  <c r="CD6"/>
  <c r="CC6"/>
  <c r="CB6"/>
  <c r="CA6"/>
  <c r="BZ6"/>
  <c r="BY6"/>
  <c r="BW6"/>
  <c r="BV6"/>
  <c r="BU6"/>
  <c r="BT6"/>
  <c r="BS6"/>
  <c r="BR6"/>
  <c r="BQ6"/>
  <c r="BP6"/>
  <c r="BO6"/>
  <c r="BN6"/>
  <c r="AW14"/>
  <c r="AV14"/>
  <c r="AM6"/>
  <c r="X6"/>
  <c r="BX6" s="1"/>
  <c r="W6"/>
  <c r="V6"/>
  <c r="M6"/>
  <c r="C6"/>
  <c r="CI5"/>
  <c r="CH5"/>
  <c r="CG5"/>
  <c r="CF5"/>
  <c r="CE5"/>
  <c r="CD5"/>
  <c r="CC5"/>
  <c r="CB5"/>
  <c r="CA5"/>
  <c r="BZ5"/>
  <c r="BX5"/>
  <c r="BW5"/>
  <c r="BV5"/>
  <c r="BU5"/>
  <c r="BT5"/>
  <c r="BS5"/>
  <c r="BR5"/>
  <c r="BQ5"/>
  <c r="BP5"/>
  <c r="BO5"/>
  <c r="BN5"/>
  <c r="AX5"/>
  <c r="AM5"/>
  <c r="X5"/>
  <c r="W5"/>
  <c r="V5"/>
  <c r="M5"/>
  <c r="C5"/>
  <c r="AX4"/>
  <c r="AY4" s="1"/>
  <c r="AZ4" s="1"/>
  <c r="BA4" s="1"/>
  <c r="BB4" s="1"/>
  <c r="BC4" s="1"/>
  <c r="BD4" s="1"/>
  <c r="BE4" s="1"/>
  <c r="BF4" s="1"/>
  <c r="BG4" s="1"/>
  <c r="BH4" s="1"/>
  <c r="BI4" s="1"/>
  <c r="BJ4" s="1"/>
  <c r="BK4" s="1"/>
  <c r="W14" l="1"/>
  <c r="BO14"/>
  <c r="BS14"/>
  <c r="BW14"/>
  <c r="CE14"/>
  <c r="CG14"/>
  <c r="CI14"/>
  <c r="U11"/>
  <c r="AP11" s="1"/>
  <c r="AY11" s="1"/>
  <c r="U12"/>
  <c r="AT12" s="1"/>
  <c r="U6"/>
  <c r="AT6" s="1"/>
  <c r="U7"/>
  <c r="BY7" s="1"/>
  <c r="B6"/>
  <c r="Y8"/>
  <c r="AA8"/>
  <c r="AC8"/>
  <c r="AE8"/>
  <c r="AG8"/>
  <c r="AI8"/>
  <c r="AK8"/>
  <c r="Z8"/>
  <c r="AB8"/>
  <c r="AD8"/>
  <c r="AF8"/>
  <c r="AH8"/>
  <c r="AJ8"/>
  <c r="U9"/>
  <c r="AO9" s="1"/>
  <c r="AX9" s="1"/>
  <c r="AV10"/>
  <c r="B5"/>
  <c r="V14"/>
  <c r="AX14"/>
  <c r="B11"/>
  <c r="U8"/>
  <c r="BY8" s="1"/>
  <c r="AV9"/>
  <c r="U10"/>
  <c r="AR10" s="1"/>
  <c r="BA10" s="1"/>
  <c r="BN14"/>
  <c r="BP14"/>
  <c r="BR14"/>
  <c r="BT14"/>
  <c r="BV14"/>
  <c r="BX14"/>
  <c r="BZ14"/>
  <c r="CB14"/>
  <c r="CD14"/>
  <c r="CK14" s="1"/>
  <c r="CF14"/>
  <c r="CH14"/>
  <c r="AH7"/>
  <c r="AL7"/>
  <c r="AD7"/>
  <c r="Z7"/>
  <c r="AF7"/>
  <c r="AJ7"/>
  <c r="AB7"/>
  <c r="AG7"/>
  <c r="AI7"/>
  <c r="AK7"/>
  <c r="AE7"/>
  <c r="AC7"/>
  <c r="AA7"/>
  <c r="AC6"/>
  <c r="Y6"/>
  <c r="X14"/>
  <c r="AE6"/>
  <c r="AA6"/>
  <c r="AD6"/>
  <c r="AB6"/>
  <c r="Z6"/>
  <c r="AA5"/>
  <c r="AE5"/>
  <c r="AI5"/>
  <c r="Y5"/>
  <c r="AC5"/>
  <c r="AG5"/>
  <c r="AK5"/>
  <c r="Z5"/>
  <c r="AB5"/>
  <c r="AD5"/>
  <c r="AF5"/>
  <c r="AH5"/>
  <c r="AJ5"/>
  <c r="AL5"/>
  <c r="BY14"/>
  <c r="CA14"/>
  <c r="CC14"/>
  <c r="AG6"/>
  <c r="AI6"/>
  <c r="AK6"/>
  <c r="AV11"/>
  <c r="AV12"/>
  <c r="U5"/>
  <c r="BY5" s="1"/>
  <c r="AM14"/>
  <c r="AF6"/>
  <c r="AH6"/>
  <c r="AJ6"/>
  <c r="AL6"/>
  <c r="AV7"/>
  <c r="AV8"/>
  <c r="B8"/>
  <c r="Z14" l="1"/>
  <c r="AS9"/>
  <c r="BB9" s="1"/>
  <c r="AC14"/>
  <c r="AD14"/>
  <c r="AA14"/>
  <c r="AT11"/>
  <c r="AP12"/>
  <c r="AY12" s="1"/>
  <c r="Y14"/>
  <c r="AB14"/>
  <c r="AE14"/>
  <c r="AR7"/>
  <c r="BA7" s="1"/>
  <c r="AN9"/>
  <c r="AW9" s="1"/>
  <c r="AK14"/>
  <c r="AO12"/>
  <c r="AX12" s="1"/>
  <c r="AN8"/>
  <c r="AW8" s="1"/>
  <c r="AS7"/>
  <c r="BB7" s="1"/>
  <c r="AO11"/>
  <c r="AX11" s="1"/>
  <c r="AN6"/>
  <c r="AR11"/>
  <c r="BA11" s="1"/>
  <c r="AS11"/>
  <c r="BB11" s="1"/>
  <c r="AQ6"/>
  <c r="AR6"/>
  <c r="AP10"/>
  <c r="AY10" s="1"/>
  <c r="AR12"/>
  <c r="BA12" s="1"/>
  <c r="AS12"/>
  <c r="BB12" s="1"/>
  <c r="AS10"/>
  <c r="BB10" s="1"/>
  <c r="AT8"/>
  <c r="AP7"/>
  <c r="AY7" s="1"/>
  <c r="AL14"/>
  <c r="AH14"/>
  <c r="AQ10"/>
  <c r="AZ10" s="1"/>
  <c r="AT10"/>
  <c r="AQ8"/>
  <c r="AZ8" s="1"/>
  <c r="AO7"/>
  <c r="AX7" s="1"/>
  <c r="AN11"/>
  <c r="AW11" s="1"/>
  <c r="AQ11"/>
  <c r="AZ11" s="1"/>
  <c r="AR9"/>
  <c r="BA9" s="1"/>
  <c r="AO6"/>
  <c r="AS6"/>
  <c r="AP6"/>
  <c r="AN12"/>
  <c r="AW12" s="1"/>
  <c r="AQ12"/>
  <c r="AZ12" s="1"/>
  <c r="AO10"/>
  <c r="AX10" s="1"/>
  <c r="AP8"/>
  <c r="AY8" s="1"/>
  <c r="AT7"/>
  <c r="AN10"/>
  <c r="AW10" s="1"/>
  <c r="AR8"/>
  <c r="BA8" s="1"/>
  <c r="AO8"/>
  <c r="AX8" s="1"/>
  <c r="AS8"/>
  <c r="BB8" s="1"/>
  <c r="AN7"/>
  <c r="AW7" s="1"/>
  <c r="AQ7"/>
  <c r="AZ7" s="1"/>
  <c r="AG14"/>
  <c r="AI14"/>
  <c r="AQ9"/>
  <c r="AZ9" s="1"/>
  <c r="AP9"/>
  <c r="AY9" s="1"/>
  <c r="AT9"/>
  <c r="AJ14"/>
  <c r="AF14"/>
  <c r="U14"/>
  <c r="AS5"/>
  <c r="AQ5"/>
  <c r="AQ14" s="1"/>
  <c r="AO5"/>
  <c r="AT5"/>
  <c r="AT14" s="1"/>
  <c r="AR5"/>
  <c r="AP5"/>
  <c r="AN5"/>
  <c r="AN14" s="1"/>
  <c r="AO14" l="1"/>
  <c r="AR14"/>
  <c r="AP14"/>
  <c r="AS14"/>
  <c r="BA5" i="28" l="1"/>
  <c r="F46" l="1"/>
  <c r="E49"/>
  <c r="E48"/>
  <c r="E47"/>
  <c r="E45"/>
  <c r="E44"/>
  <c r="F44" s="1"/>
  <c r="D49"/>
  <c r="C49"/>
  <c r="C47"/>
  <c r="C45"/>
  <c r="C44"/>
  <c r="G49"/>
  <c r="G48"/>
  <c r="D48"/>
  <c r="C48"/>
  <c r="G47"/>
  <c r="J46"/>
  <c r="H46"/>
  <c r="G46"/>
  <c r="D46"/>
  <c r="C46"/>
  <c r="G45"/>
  <c r="D45"/>
  <c r="G44"/>
  <c r="D44"/>
  <c r="H15"/>
  <c r="H14"/>
  <c r="H13"/>
  <c r="P11"/>
  <c r="P10"/>
  <c r="L10"/>
  <c r="L12" s="1"/>
  <c r="L13" s="1"/>
  <c r="L14" s="1"/>
  <c r="L15" s="1"/>
  <c r="L16" s="1"/>
  <c r="P9"/>
  <c r="B8"/>
  <c r="U7"/>
  <c r="S7"/>
  <c r="Q7"/>
  <c r="O7" s="1"/>
  <c r="U6"/>
  <c r="S6"/>
  <c r="Q6"/>
  <c r="O6" s="1"/>
  <c r="U5"/>
  <c r="S5"/>
  <c r="Q5"/>
  <c r="O5" s="1"/>
  <c r="U4"/>
  <c r="S4"/>
  <c r="Q4"/>
  <c r="O4" s="1"/>
  <c r="U3"/>
  <c r="S3"/>
  <c r="Q3"/>
  <c r="O3" s="1"/>
  <c r="U1"/>
  <c r="F45" l="1"/>
  <c r="F48"/>
  <c r="F47"/>
  <c r="F49"/>
  <c r="U5" i="27" l="1"/>
  <c r="V8" l="1"/>
  <c r="V7"/>
  <c r="CL7"/>
  <c r="CK7"/>
  <c r="CJ7"/>
  <c r="CI7"/>
  <c r="CH7"/>
  <c r="CG7"/>
  <c r="CE7"/>
  <c r="CD7"/>
  <c r="CC7"/>
  <c r="CB7"/>
  <c r="CA7"/>
  <c r="BZ7"/>
  <c r="BY7"/>
  <c r="BX7"/>
  <c r="BW7"/>
  <c r="BV7"/>
  <c r="BU7"/>
  <c r="BT7"/>
  <c r="BS7"/>
  <c r="BQ7"/>
  <c r="BP7"/>
  <c r="BO7"/>
  <c r="BN7"/>
  <c r="BM7"/>
  <c r="BL7"/>
  <c r="BK7"/>
  <c r="BJ7"/>
  <c r="BI7"/>
  <c r="BH7"/>
  <c r="BR7"/>
  <c r="C7"/>
  <c r="AO9" l="1"/>
  <c r="CL5" l="1"/>
  <c r="CK5"/>
  <c r="CJ5"/>
  <c r="CG5"/>
  <c r="CF5"/>
  <c r="CE5"/>
  <c r="CD5"/>
  <c r="CC5"/>
  <c r="CB5"/>
  <c r="CA5"/>
  <c r="BZ5"/>
  <c r="BY5"/>
  <c r="BX5"/>
  <c r="BW5"/>
  <c r="BV5"/>
  <c r="BU5"/>
  <c r="BR5"/>
  <c r="BQ5"/>
  <c r="BP5"/>
  <c r="BO5"/>
  <c r="BN5"/>
  <c r="BM5"/>
  <c r="BL5"/>
  <c r="BK5"/>
  <c r="BJ5"/>
  <c r="BI5"/>
  <c r="BH5"/>
  <c r="BT5"/>
  <c r="C5"/>
  <c r="CL6"/>
  <c r="CK6"/>
  <c r="CJ6"/>
  <c r="CI6"/>
  <c r="CH6"/>
  <c r="CG6"/>
  <c r="CE6"/>
  <c r="CD6"/>
  <c r="CC6"/>
  <c r="CB6"/>
  <c r="CA6"/>
  <c r="BZ6"/>
  <c r="BY6"/>
  <c r="BX6"/>
  <c r="BW6"/>
  <c r="BV6"/>
  <c r="BU6"/>
  <c r="BT6"/>
  <c r="BS6"/>
  <c r="BQ6"/>
  <c r="BP6"/>
  <c r="BO6"/>
  <c r="BN6"/>
  <c r="BM6"/>
  <c r="BL6"/>
  <c r="BK6"/>
  <c r="BJ6"/>
  <c r="BI6"/>
  <c r="BH6"/>
  <c r="BR6"/>
  <c r="C6"/>
  <c r="AE5" l="1"/>
  <c r="AA5"/>
  <c r="CI5"/>
  <c r="AM5"/>
  <c r="CH5"/>
  <c r="BS5"/>
  <c r="AW5" l="1"/>
  <c r="BI21" l="1"/>
  <c r="BI20"/>
  <c r="CL8"/>
  <c r="CK8"/>
  <c r="CG8"/>
  <c r="CE8"/>
  <c r="CD8"/>
  <c r="CC8"/>
  <c r="CC9" s="1"/>
  <c r="CB8"/>
  <c r="CA8"/>
  <c r="CA9" s="1"/>
  <c r="BZ8"/>
  <c r="BY8"/>
  <c r="BY9" s="1"/>
  <c r="BX8"/>
  <c r="BW8"/>
  <c r="BV8"/>
  <c r="BQ8"/>
  <c r="BQ9" s="1"/>
  <c r="BP8"/>
  <c r="BO8"/>
  <c r="BO9" s="1"/>
  <c r="BN8"/>
  <c r="BM8"/>
  <c r="BM9" s="1"/>
  <c r="BL8"/>
  <c r="BK8"/>
  <c r="BK9" s="1"/>
  <c r="BJ8"/>
  <c r="BI8"/>
  <c r="BI9" s="1"/>
  <c r="BH8"/>
  <c r="AP9"/>
  <c r="AK9"/>
  <c r="AJ9"/>
  <c r="AI9"/>
  <c r="AG9"/>
  <c r="AF9"/>
  <c r="BR8"/>
  <c r="BR9" s="1"/>
  <c r="C8"/>
  <c r="AR4"/>
  <c r="AS4" s="1"/>
  <c r="AT4" s="1"/>
  <c r="AU4" s="1"/>
  <c r="AV4" s="1"/>
  <c r="AW4" s="1"/>
  <c r="AX4" s="1"/>
  <c r="AY4" s="1"/>
  <c r="AZ4" s="1"/>
  <c r="BA4" s="1"/>
  <c r="BB4" s="1"/>
  <c r="BC4" s="1"/>
  <c r="BU8" l="1"/>
  <c r="BU9" s="1"/>
  <c r="AH9"/>
  <c r="AL9"/>
  <c r="BH9"/>
  <c r="BO14" s="1"/>
  <c r="BR14" s="1"/>
  <c r="BJ9"/>
  <c r="BO16" s="1"/>
  <c r="BP16" s="1"/>
  <c r="BL9"/>
  <c r="BO17" s="1"/>
  <c r="BR17" s="1"/>
  <c r="BN9"/>
  <c r="BN10" s="1"/>
  <c r="BP9"/>
  <c r="BO19" s="1"/>
  <c r="BR19" s="1"/>
  <c r="BV9"/>
  <c r="BX9"/>
  <c r="BZ9"/>
  <c r="CB9"/>
  <c r="CD9"/>
  <c r="CL9"/>
  <c r="BT8"/>
  <c r="BT9" s="1"/>
  <c r="CI8"/>
  <c r="CI9" s="1"/>
  <c r="BI17" s="1"/>
  <c r="BW9"/>
  <c r="CE9"/>
  <c r="CG9"/>
  <c r="BI15" s="1"/>
  <c r="CK9"/>
  <c r="X9"/>
  <c r="BR16"/>
  <c r="BK10"/>
  <c r="BQ16" s="1"/>
  <c r="BP10"/>
  <c r="V9"/>
  <c r="BJ10" l="1"/>
  <c r="BO18"/>
  <c r="BM10"/>
  <c r="BQ17" s="1"/>
  <c r="BH10"/>
  <c r="BP17"/>
  <c r="BP14"/>
  <c r="BQ10"/>
  <c r="BQ19" s="1"/>
  <c r="BI10"/>
  <c r="BQ14" s="1"/>
  <c r="BP19"/>
  <c r="BL10"/>
  <c r="BO10"/>
  <c r="BQ18" s="1"/>
  <c r="CF8"/>
  <c r="CF9" s="1"/>
  <c r="CH8"/>
  <c r="CH9" s="1"/>
  <c r="BS8"/>
  <c r="BS9" s="1"/>
  <c r="BR18"/>
  <c r="BP18"/>
  <c r="BO20"/>
  <c r="BP21" s="1"/>
  <c r="BI16" l="1"/>
  <c r="BK16"/>
  <c r="BI14"/>
  <c r="BK14"/>
  <c r="BI22" l="1"/>
  <c r="BJ14" s="1"/>
  <c r="BJ21" l="1"/>
  <c r="BJ19"/>
  <c r="BJ17"/>
  <c r="BJ18"/>
  <c r="BJ20"/>
  <c r="BJ15"/>
  <c r="BJ16"/>
  <c r="BJ22" l="1"/>
  <c r="P7" i="24" l="1"/>
  <c r="AN6"/>
  <c r="Q6" l="1"/>
  <c r="P6"/>
  <c r="U7" l="1"/>
  <c r="AB7" s="1"/>
  <c r="X7"/>
  <c r="AE7" s="1"/>
  <c r="T8"/>
  <c r="X8"/>
  <c r="AE8" s="1"/>
  <c r="T9"/>
  <c r="X9"/>
  <c r="AE9" s="1"/>
  <c r="W10"/>
  <c r="AD10" s="1"/>
  <c r="X10"/>
  <c r="AE10" s="1"/>
  <c r="R11"/>
  <c r="Y11" s="1"/>
  <c r="S11"/>
  <c r="Z11" s="1"/>
  <c r="T11"/>
  <c r="U11"/>
  <c r="AB11" s="1"/>
  <c r="V11"/>
  <c r="AC11" s="1"/>
  <c r="W11"/>
  <c r="AD11" s="1"/>
  <c r="X11"/>
  <c r="AE11" s="1"/>
  <c r="R12"/>
  <c r="Y12" s="1"/>
  <c r="S12"/>
  <c r="Z12" s="1"/>
  <c r="T12"/>
  <c r="U12"/>
  <c r="AB12" s="1"/>
  <c r="V12"/>
  <c r="AC12" s="1"/>
  <c r="W12"/>
  <c r="AD12" s="1"/>
  <c r="X12"/>
  <c r="AE12" s="1"/>
  <c r="AD5" i="27" l="1"/>
  <c r="W8" i="24"/>
  <c r="AD8" s="1"/>
  <c r="W9"/>
  <c r="AD9" s="1"/>
  <c r="Y5" i="27" l="1"/>
  <c r="AC5"/>
  <c r="Z5"/>
  <c r="AB5"/>
  <c r="AV5"/>
  <c r="R7" i="24"/>
  <c r="Y7" s="1"/>
  <c r="T7"/>
  <c r="V7"/>
  <c r="AC7" s="1"/>
  <c r="S7"/>
  <c r="Z7" s="1"/>
  <c r="W7"/>
  <c r="AD7" s="1"/>
  <c r="R8"/>
  <c r="Y8" s="1"/>
  <c r="R10"/>
  <c r="Y10" s="1"/>
  <c r="S9"/>
  <c r="Z9" s="1"/>
  <c r="T10"/>
  <c r="U9"/>
  <c r="AB9" s="1"/>
  <c r="V8"/>
  <c r="AC8" s="1"/>
  <c r="V10"/>
  <c r="AC10" s="1"/>
  <c r="R9"/>
  <c r="Y9" s="1"/>
  <c r="S8"/>
  <c r="Z8" s="1"/>
  <c r="S10"/>
  <c r="Z10" s="1"/>
  <c r="U8"/>
  <c r="AB8" s="1"/>
  <c r="U10"/>
  <c r="AB10" s="1"/>
  <c r="V9"/>
  <c r="AC9" s="1"/>
  <c r="AQ5" i="27" l="1"/>
  <c r="AT5"/>
  <c r="AR5"/>
  <c r="AU5"/>
  <c r="X6" i="24" l="1"/>
  <c r="AE6" s="1"/>
  <c r="V6"/>
  <c r="AC6" s="1"/>
  <c r="T6"/>
  <c r="R6"/>
  <c r="Y6" s="1"/>
  <c r="W6"/>
  <c r="AD6" s="1"/>
  <c r="U6"/>
  <c r="AB6" s="1"/>
  <c r="S6"/>
  <c r="Z6" s="1"/>
  <c r="AH12"/>
  <c r="H25"/>
  <c r="D20"/>
  <c r="D19"/>
  <c r="E21" s="1"/>
  <c r="H18"/>
  <c r="Q13"/>
  <c r="J13"/>
  <c r="J14" s="1"/>
  <c r="I12"/>
  <c r="I11"/>
  <c r="I10"/>
  <c r="I9"/>
  <c r="I8"/>
  <c r="I7"/>
  <c r="I6"/>
  <c r="Y5"/>
  <c r="R5"/>
  <c r="Z5" s="1"/>
  <c r="S5" l="1"/>
  <c r="AA5" s="1"/>
  <c r="E20"/>
  <c r="H13"/>
  <c r="T5" l="1"/>
  <c r="AB5" s="1"/>
  <c r="AD13"/>
  <c r="AE13"/>
  <c r="Z13"/>
  <c r="Y13"/>
  <c r="AC13"/>
  <c r="AB13"/>
  <c r="U5" l="1"/>
  <c r="AB14"/>
  <c r="Y14"/>
  <c r="AE14"/>
  <c r="AC14"/>
  <c r="Z14"/>
  <c r="AD14"/>
  <c r="V5"/>
  <c r="AD5" s="1"/>
  <c r="AC5"/>
  <c r="AA12" l="1"/>
  <c r="AA11"/>
  <c r="AA8"/>
  <c r="AA9"/>
  <c r="AA7"/>
  <c r="AA10"/>
  <c r="AA6"/>
  <c r="AA13" l="1"/>
  <c r="AA14" l="1"/>
  <c r="B7" i="33" l="1"/>
  <c r="B12" l="1"/>
  <c r="W8" i="27"/>
  <c r="U8" s="1"/>
  <c r="W6"/>
  <c r="W7"/>
  <c r="U7" s="1"/>
  <c r="AA7" s="1"/>
  <c r="C24" i="5"/>
  <c r="C25"/>
  <c r="C26"/>
  <c r="C27"/>
  <c r="C28"/>
  <c r="C29"/>
  <c r="C23"/>
  <c r="C16" i="33" l="1"/>
  <c r="C17" s="1"/>
  <c r="B22" s="1"/>
  <c r="U6" i="27"/>
  <c r="AA6" s="1"/>
  <c r="CF7"/>
  <c r="Y7"/>
  <c r="AQ7" s="1"/>
  <c r="AE7"/>
  <c r="AW7" s="1"/>
  <c r="Z7"/>
  <c r="AR7" s="1"/>
  <c r="AD7"/>
  <c r="AV7" s="1"/>
  <c r="AM7"/>
  <c r="AC7"/>
  <c r="AU7" s="1"/>
  <c r="AB7"/>
  <c r="AT7" s="1"/>
  <c r="W9"/>
  <c r="AC6"/>
  <c r="Z6"/>
  <c r="AD6"/>
  <c r="Y6"/>
  <c r="AE6"/>
  <c r="AB6"/>
  <c r="CF6"/>
  <c r="C17" i="5"/>
  <c r="C18"/>
  <c r="C19"/>
  <c r="C20"/>
  <c r="C21"/>
  <c r="C22"/>
  <c r="C16"/>
  <c r="C10"/>
  <c r="C11"/>
  <c r="C12"/>
  <c r="C13"/>
  <c r="C14"/>
  <c r="C15"/>
  <c r="C9"/>
  <c r="C3"/>
  <c r="C4"/>
  <c r="C5"/>
  <c r="C6"/>
  <c r="C7"/>
  <c r="C8"/>
  <c r="C2"/>
  <c r="F28"/>
  <c r="F21"/>
  <c r="F14"/>
  <c r="F7"/>
  <c r="F27"/>
  <c r="F20"/>
  <c r="F13"/>
  <c r="F6"/>
  <c r="F25"/>
  <c r="F24"/>
  <c r="F23"/>
  <c r="F18"/>
  <c r="F17"/>
  <c r="F16"/>
  <c r="F11"/>
  <c r="F10"/>
  <c r="F9"/>
  <c r="F4"/>
  <c r="F3"/>
  <c r="F2"/>
  <c r="F19"/>
  <c r="D23"/>
  <c r="E27" s="1"/>
  <c r="D16"/>
  <c r="D9"/>
  <c r="E11" s="1"/>
  <c r="D2"/>
  <c r="E22" l="1"/>
  <c r="B20" i="33"/>
  <c r="B24"/>
  <c r="B21"/>
  <c r="B23"/>
  <c r="B26"/>
  <c r="B25"/>
  <c r="U9" i="27"/>
  <c r="BK22" s="1"/>
  <c r="BK21" s="1"/>
  <c r="AM6"/>
  <c r="AW6"/>
  <c r="AV6"/>
  <c r="AU6"/>
  <c r="AT6"/>
  <c r="AQ6"/>
  <c r="AR6"/>
  <c r="AA8"/>
  <c r="AB8"/>
  <c r="AT8" s="1"/>
  <c r="Y8"/>
  <c r="AQ8" s="1"/>
  <c r="AE8"/>
  <c r="AW8" s="1"/>
  <c r="CJ8"/>
  <c r="CJ9" s="1"/>
  <c r="CM9" s="1"/>
  <c r="Z8"/>
  <c r="AR8" s="1"/>
  <c r="AD8"/>
  <c r="AV8" s="1"/>
  <c r="AC8"/>
  <c r="AU8" s="1"/>
  <c r="AM8"/>
  <c r="AM9" s="1"/>
  <c r="G27" i="5"/>
  <c r="E25"/>
  <c r="G25" s="1"/>
  <c r="F29"/>
  <c r="F12"/>
  <c r="F26"/>
  <c r="F5"/>
  <c r="E7"/>
  <c r="G7" s="1"/>
  <c r="E21"/>
  <c r="G21" s="1"/>
  <c r="E5"/>
  <c r="E14"/>
  <c r="G14" s="1"/>
  <c r="E28"/>
  <c r="G28" s="1"/>
  <c r="E29"/>
  <c r="E6"/>
  <c r="G6" s="1"/>
  <c r="E13"/>
  <c r="G13" s="1"/>
  <c r="E20"/>
  <c r="G20" s="1"/>
  <c r="E26"/>
  <c r="E24"/>
  <c r="G24" s="1"/>
  <c r="E12"/>
  <c r="E10"/>
  <c r="G10" s="1"/>
  <c r="E18"/>
  <c r="G18" s="1"/>
  <c r="E9"/>
  <c r="G9" s="1"/>
  <c r="E23"/>
  <c r="G23" s="1"/>
  <c r="E15"/>
  <c r="E16"/>
  <c r="G16" s="1"/>
  <c r="E19"/>
  <c r="G19" s="1"/>
  <c r="E17"/>
  <c r="G17" s="1"/>
  <c r="E8"/>
  <c r="E4"/>
  <c r="G4" s="1"/>
  <c r="E2"/>
  <c r="G2" s="1"/>
  <c r="E3"/>
  <c r="G3" s="1"/>
  <c r="G11"/>
  <c r="AQ9" i="27" l="1"/>
  <c r="AT9"/>
  <c r="B27" i="33"/>
  <c r="C22" s="1"/>
  <c r="BK17" i="27"/>
  <c r="AR9"/>
  <c r="AR10" s="1"/>
  <c r="BK19"/>
  <c r="BK20"/>
  <c r="BK18"/>
  <c r="G12" i="5"/>
  <c r="AU9" i="27"/>
  <c r="AU10" s="1"/>
  <c r="AW9"/>
  <c r="AW10" s="1"/>
  <c r="AV9"/>
  <c r="AV10" s="1"/>
  <c r="AS9"/>
  <c r="AS10" s="1"/>
  <c r="AA9"/>
  <c r="AQ10"/>
  <c r="AC9"/>
  <c r="AD9"/>
  <c r="AE9"/>
  <c r="AT10"/>
  <c r="Z9"/>
  <c r="Y9"/>
  <c r="AB9"/>
  <c r="F8" i="5"/>
  <c r="G8" s="1"/>
  <c r="G5"/>
  <c r="G26"/>
  <c r="G29"/>
  <c r="F15"/>
  <c r="G15" s="1"/>
  <c r="F22"/>
  <c r="G22" s="1"/>
  <c r="H2"/>
  <c r="H23"/>
  <c r="H9"/>
  <c r="H16"/>
  <c r="B9" i="44" l="1"/>
  <c r="C25" i="33"/>
  <c r="B12" i="44" s="1"/>
  <c r="C23" i="33"/>
  <c r="C26"/>
  <c r="B13" i="44" s="1"/>
  <c r="C20" i="33"/>
  <c r="C21"/>
  <c r="B8" i="44" s="1"/>
  <c r="C24" i="33"/>
  <c r="B11" i="44" s="1"/>
  <c r="B10" l="1"/>
  <c r="B14" s="1"/>
  <c r="C36" i="33"/>
  <c r="B36" s="1"/>
  <c r="F49" i="44"/>
  <c r="J49"/>
  <c r="H49"/>
  <c r="I49"/>
  <c r="D49"/>
  <c r="G49"/>
  <c r="C14"/>
  <c r="G47"/>
  <c r="J47"/>
  <c r="F47"/>
  <c r="I47"/>
  <c r="E47"/>
  <c r="H47"/>
  <c r="D47"/>
  <c r="N37"/>
  <c r="Q36"/>
  <c r="P36"/>
  <c r="K36"/>
  <c r="M28"/>
  <c r="N28"/>
  <c r="M40"/>
  <c r="N27"/>
  <c r="L43"/>
  <c r="Q31"/>
  <c r="Q29"/>
  <c r="O43"/>
  <c r="L22"/>
  <c r="N25"/>
  <c r="P27"/>
  <c r="O23"/>
  <c r="K31"/>
  <c r="Q26"/>
  <c r="P43"/>
  <c r="N22"/>
  <c r="Q30"/>
  <c r="K23"/>
  <c r="O24"/>
  <c r="O39"/>
  <c r="O26"/>
  <c r="M25"/>
  <c r="K26"/>
  <c r="P37"/>
  <c r="K37"/>
  <c r="K28"/>
  <c r="P30"/>
  <c r="P31"/>
  <c r="Q40"/>
  <c r="P40"/>
  <c r="Q27"/>
  <c r="P29"/>
  <c r="M30"/>
  <c r="P25"/>
  <c r="N43"/>
  <c r="K29"/>
  <c r="Q43"/>
  <c r="L37"/>
  <c r="O36"/>
  <c r="Q28"/>
  <c r="O30"/>
  <c r="O31"/>
  <c r="K25"/>
  <c r="N40"/>
  <c r="P23"/>
  <c r="O29"/>
  <c r="P26"/>
  <c r="L23"/>
  <c r="M29"/>
  <c r="O40"/>
  <c r="N36"/>
  <c r="M36"/>
  <c r="L36"/>
  <c r="O37"/>
  <c r="L28"/>
  <c r="P22"/>
  <c r="K40"/>
  <c r="Q23"/>
  <c r="K43"/>
  <c r="P39"/>
  <c r="L26"/>
  <c r="K24"/>
  <c r="K22"/>
  <c r="Q25"/>
  <c r="O27"/>
  <c r="N24"/>
  <c r="L39"/>
  <c r="L25"/>
  <c r="L24"/>
  <c r="L40"/>
  <c r="L27"/>
  <c r="N23"/>
  <c r="Q24"/>
  <c r="L29"/>
  <c r="M26"/>
  <c r="N30"/>
  <c r="Q37"/>
  <c r="P28"/>
  <c r="O22"/>
  <c r="M23"/>
  <c r="N39"/>
  <c r="N31"/>
  <c r="L30"/>
  <c r="M24"/>
  <c r="K39"/>
  <c r="K27"/>
  <c r="M31"/>
  <c r="Q22"/>
  <c r="M37"/>
  <c r="O28"/>
  <c r="M22"/>
  <c r="M43"/>
  <c r="N29"/>
  <c r="N26"/>
  <c r="K30"/>
  <c r="L31"/>
  <c r="M27"/>
  <c r="O25"/>
  <c r="P24"/>
  <c r="Q39"/>
  <c r="M39"/>
  <c r="C37" i="33"/>
  <c r="B37" s="1"/>
  <c r="C34"/>
  <c r="B34" s="1"/>
  <c r="C33"/>
  <c r="B33" s="1"/>
  <c r="C39"/>
  <c r="B39" s="1"/>
  <c r="C38"/>
  <c r="B38" s="1"/>
  <c r="C27"/>
  <c r="E49" i="44" l="1"/>
  <c r="F73" i="33"/>
  <c r="E46"/>
  <c r="D28" i="44"/>
  <c r="I22"/>
  <c r="H33"/>
  <c r="E25"/>
  <c r="G36"/>
  <c r="L42"/>
  <c r="F43"/>
  <c r="J31"/>
  <c r="I26"/>
  <c r="J42"/>
  <c r="E26"/>
  <c r="G34"/>
  <c r="D25"/>
  <c r="J27"/>
  <c r="I23"/>
  <c r="G43"/>
  <c r="J29"/>
  <c r="D22"/>
  <c r="O42"/>
  <c r="G22"/>
  <c r="H34"/>
  <c r="I25"/>
  <c r="H36"/>
  <c r="D42"/>
  <c r="D43"/>
  <c r="F29"/>
  <c r="D37"/>
  <c r="G27"/>
  <c r="I24"/>
  <c r="P42"/>
  <c r="G28"/>
  <c r="H25"/>
  <c r="E30"/>
  <c r="F42"/>
  <c r="J26"/>
  <c r="E22"/>
  <c r="D33"/>
  <c r="I43"/>
  <c r="H26"/>
  <c r="D31"/>
  <c r="E33"/>
  <c r="G30"/>
  <c r="J23"/>
  <c r="F25"/>
  <c r="I31"/>
  <c r="I28"/>
  <c r="G25"/>
  <c r="I36"/>
  <c r="D23"/>
  <c r="G26"/>
  <c r="G29"/>
  <c r="I33"/>
  <c r="E36"/>
  <c r="E31"/>
  <c r="D36"/>
  <c r="J34"/>
  <c r="J36"/>
  <c r="G31"/>
  <c r="F36"/>
  <c r="E29"/>
  <c r="J28"/>
  <c r="H28"/>
  <c r="I37"/>
  <c r="F33"/>
  <c r="J30"/>
  <c r="D27"/>
  <c r="K42"/>
  <c r="H24"/>
  <c r="D29"/>
  <c r="F34"/>
  <c r="F23"/>
  <c r="J22"/>
  <c r="E34"/>
  <c r="F30"/>
  <c r="I42"/>
  <c r="E23"/>
  <c r="D24"/>
  <c r="I29"/>
  <c r="J33"/>
  <c r="G23"/>
  <c r="J37"/>
  <c r="G33"/>
  <c r="H30"/>
  <c r="F27"/>
  <c r="N42"/>
  <c r="J24"/>
  <c r="D26"/>
  <c r="D34"/>
  <c r="E24"/>
  <c r="E28"/>
  <c r="G37"/>
  <c r="I27"/>
  <c r="G24"/>
  <c r="H27"/>
  <c r="H29"/>
  <c r="I30"/>
  <c r="H42"/>
  <c r="F31"/>
  <c r="D30"/>
  <c r="H37"/>
  <c r="E27"/>
  <c r="H31"/>
  <c r="F22"/>
  <c r="H23"/>
  <c r="F28"/>
  <c r="I34"/>
  <c r="M42"/>
  <c r="F24"/>
  <c r="Q42"/>
  <c r="E37"/>
  <c r="G42"/>
  <c r="H43"/>
  <c r="F26"/>
  <c r="H22"/>
  <c r="J25"/>
  <c r="E42"/>
  <c r="E43"/>
  <c r="F37"/>
  <c r="J43"/>
  <c r="E73" i="33"/>
  <c r="I73"/>
  <c r="J73"/>
  <c r="G73"/>
  <c r="D73"/>
  <c r="H73"/>
  <c r="D55"/>
  <c r="D60"/>
  <c r="E60"/>
  <c r="F67"/>
  <c r="G67"/>
  <c r="H67"/>
  <c r="I67"/>
  <c r="M66"/>
  <c r="E66"/>
  <c r="J66"/>
  <c r="E61"/>
  <c r="G61"/>
  <c r="D57"/>
  <c r="J60"/>
  <c r="N66"/>
  <c r="H66"/>
  <c r="F61"/>
  <c r="K66"/>
  <c r="H61"/>
  <c r="E57"/>
  <c r="F60"/>
  <c r="H60"/>
  <c r="J67"/>
  <c r="D67"/>
  <c r="L66"/>
  <c r="Q66"/>
  <c r="I66"/>
  <c r="G66"/>
  <c r="I61"/>
  <c r="D61"/>
  <c r="G57"/>
  <c r="I60"/>
  <c r="P66"/>
  <c r="O66"/>
  <c r="F57"/>
  <c r="G60"/>
  <c r="E67"/>
  <c r="D66"/>
  <c r="F66"/>
  <c r="J61"/>
  <c r="N61"/>
  <c r="K61"/>
  <c r="M60"/>
  <c r="O61"/>
  <c r="Q60"/>
  <c r="L60"/>
  <c r="L61"/>
  <c r="P61"/>
  <c r="P60"/>
  <c r="K60"/>
  <c r="M61"/>
  <c r="Q61"/>
  <c r="O60"/>
  <c r="N60"/>
  <c r="Q46"/>
  <c r="P46"/>
  <c r="L46"/>
  <c r="N46"/>
  <c r="O46"/>
  <c r="M46"/>
  <c r="O51"/>
  <c r="Q51"/>
  <c r="L49"/>
  <c r="Q49"/>
  <c r="N48"/>
  <c r="P48"/>
  <c r="O52"/>
  <c r="M50"/>
  <c r="O50"/>
  <c r="L53"/>
  <c r="Q53"/>
  <c r="P47"/>
  <c r="K47"/>
  <c r="N54"/>
  <c r="O55"/>
  <c r="M55"/>
  <c r="Q47"/>
  <c r="L55"/>
  <c r="Q48"/>
  <c r="P52"/>
  <c r="O53"/>
  <c r="L47"/>
  <c r="N47"/>
  <c r="P54"/>
  <c r="K55"/>
  <c r="L51"/>
  <c r="N51"/>
  <c r="P49"/>
  <c r="N49"/>
  <c r="O48"/>
  <c r="M52"/>
  <c r="K52"/>
  <c r="Q50"/>
  <c r="L50"/>
  <c r="P53"/>
  <c r="N53"/>
  <c r="M47"/>
  <c r="M54"/>
  <c r="O54"/>
  <c r="Q55"/>
  <c r="P51"/>
  <c r="K51"/>
  <c r="K49"/>
  <c r="M48"/>
  <c r="K48"/>
  <c r="Q52"/>
  <c r="L52"/>
  <c r="K50"/>
  <c r="P50"/>
  <c r="K53"/>
  <c r="O47"/>
  <c r="Q54"/>
  <c r="L54"/>
  <c r="N55"/>
  <c r="M51"/>
  <c r="O49"/>
  <c r="M49"/>
  <c r="L48"/>
  <c r="N52"/>
  <c r="N50"/>
  <c r="M53"/>
  <c r="K54"/>
  <c r="P55"/>
  <c r="M64"/>
  <c r="O64"/>
  <c r="K63"/>
  <c r="L67"/>
  <c r="K67"/>
  <c r="L64"/>
  <c r="N64"/>
  <c r="L63"/>
  <c r="O67"/>
  <c r="Q67"/>
  <c r="P64"/>
  <c r="N63"/>
  <c r="N67"/>
  <c r="Q64"/>
  <c r="M63"/>
  <c r="O63"/>
  <c r="M67"/>
  <c r="Q63"/>
  <c r="P67"/>
  <c r="K64"/>
  <c r="P63"/>
  <c r="K46"/>
  <c r="F46"/>
  <c r="D50"/>
  <c r="E50"/>
  <c r="J55"/>
  <c r="J49"/>
  <c r="I49"/>
  <c r="F54"/>
  <c r="G54"/>
  <c r="G48"/>
  <c r="D48"/>
  <c r="H53"/>
  <c r="I47"/>
  <c r="F47"/>
  <c r="I52"/>
  <c r="F52"/>
  <c r="G46"/>
  <c r="J50"/>
  <c r="G55"/>
  <c r="D49"/>
  <c r="H54"/>
  <c r="J48"/>
  <c r="G53"/>
  <c r="H47"/>
  <c r="J46"/>
  <c r="G50"/>
  <c r="H55"/>
  <c r="J54"/>
  <c r="I48"/>
  <c r="D53"/>
  <c r="J47"/>
  <c r="H52"/>
  <c r="I46"/>
  <c r="H46"/>
  <c r="D46"/>
  <c r="H50"/>
  <c r="I55"/>
  <c r="F55"/>
  <c r="F49"/>
  <c r="G49"/>
  <c r="D54"/>
  <c r="E54"/>
  <c r="E48"/>
  <c r="J53"/>
  <c r="I53"/>
  <c r="G47"/>
  <c r="D47"/>
  <c r="G52"/>
  <c r="D52"/>
  <c r="I50"/>
  <c r="E49"/>
  <c r="H48"/>
  <c r="F53"/>
  <c r="E47"/>
  <c r="E52"/>
  <c r="F50"/>
  <c r="E55"/>
  <c r="H49"/>
  <c r="I54"/>
  <c r="F48"/>
  <c r="E53"/>
  <c r="J52"/>
  <c r="J51"/>
  <c r="I51"/>
  <c r="F51"/>
  <c r="G51"/>
  <c r="D51"/>
  <c r="E51"/>
  <c r="H51"/>
  <c r="H58"/>
  <c r="J58"/>
  <c r="I57"/>
  <c r="D58"/>
  <c r="E58"/>
  <c r="F58"/>
  <c r="G58"/>
  <c r="I58"/>
  <c r="J57"/>
  <c r="H57"/>
  <c r="G10" i="44" l="1"/>
  <c r="I10"/>
  <c r="L10"/>
  <c r="I7" i="33"/>
  <c r="K10" i="44"/>
  <c r="M10"/>
  <c r="H10"/>
  <c r="J10"/>
  <c r="K7" i="33"/>
  <c r="L7"/>
  <c r="M7"/>
  <c r="H7"/>
  <c r="J7"/>
  <c r="G7"/>
  <c r="B40" l="1"/>
  <c r="C35"/>
  <c r="C40" s="1"/>
  <c r="AA6" i="59" l="1"/>
  <c r="D6" s="1"/>
  <c r="D16" s="1"/>
  <c r="E6" l="1"/>
  <c r="E16" s="1"/>
  <c r="D29"/>
  <c r="AF6"/>
  <c r="L6" s="1"/>
  <c r="L16" s="1"/>
  <c r="AC6"/>
  <c r="I6" s="1"/>
  <c r="I16" s="1"/>
  <c r="AG6"/>
  <c r="M6" s="1"/>
  <c r="M16" s="1"/>
  <c r="AH6"/>
  <c r="N6" s="1"/>
  <c r="N16" s="1"/>
  <c r="AE6"/>
  <c r="K6" s="1"/>
  <c r="K16" s="1"/>
  <c r="AB6"/>
  <c r="H6" s="1"/>
  <c r="H16" s="1"/>
  <c r="AD6"/>
  <c r="J6" s="1"/>
  <c r="J16" s="1"/>
  <c r="N29" l="1"/>
  <c r="N38" s="1"/>
  <c r="M29"/>
  <c r="M38" s="1"/>
  <c r="I29"/>
  <c r="K29"/>
  <c r="H29"/>
  <c r="L29"/>
  <c r="L38" s="1"/>
  <c r="E29" l="1"/>
  <c r="J29"/>
  <c r="L10" i="62" l="1"/>
  <c r="E8"/>
  <c r="F8" s="1"/>
  <c r="J10"/>
  <c r="I10"/>
  <c r="E10"/>
  <c r="F10" s="1"/>
  <c r="AB7"/>
  <c r="K10"/>
  <c r="K8" l="1"/>
  <c r="J8"/>
  <c r="M7"/>
  <c r="N8"/>
  <c r="O10"/>
  <c r="I7"/>
  <c r="I8"/>
  <c r="N10"/>
  <c r="M10"/>
  <c r="M8"/>
  <c r="N7"/>
  <c r="E7"/>
  <c r="O7"/>
  <c r="K7"/>
  <c r="L8"/>
  <c r="L7"/>
  <c r="O8"/>
  <c r="J7"/>
  <c r="F7" l="1"/>
  <c r="AB12"/>
  <c r="N12" l="1"/>
  <c r="N16" s="1"/>
  <c r="K12"/>
  <c r="K16" s="1"/>
  <c r="J12"/>
  <c r="J16" s="1"/>
  <c r="M12"/>
  <c r="M16" s="1"/>
  <c r="E12"/>
  <c r="E16" s="1"/>
  <c r="L12"/>
  <c r="L16" s="1"/>
  <c r="O12"/>
  <c r="O16" s="1"/>
  <c r="I12" l="1"/>
  <c r="I16" s="1"/>
  <c r="F12"/>
  <c r="F16" s="1"/>
  <c r="AB7" i="65"/>
  <c r="E7" l="1"/>
  <c r="AH7"/>
  <c r="N7" s="1"/>
  <c r="AG7"/>
  <c r="M7" s="1"/>
  <c r="AI7"/>
  <c r="O7" s="1"/>
  <c r="AC7"/>
  <c r="I7" s="1"/>
  <c r="AD7"/>
  <c r="J7" s="1"/>
  <c r="AE7"/>
  <c r="K7" s="1"/>
  <c r="K27" s="1"/>
  <c r="K35" s="1"/>
  <c r="AF7"/>
  <c r="L7" s="1"/>
  <c r="F7"/>
  <c r="K38" l="1"/>
  <c r="K36"/>
  <c r="E36"/>
  <c r="E38"/>
  <c r="I27"/>
  <c r="I35" s="1"/>
  <c r="M27"/>
  <c r="N27"/>
  <c r="F27"/>
  <c r="F35" s="1"/>
  <c r="L27"/>
  <c r="L35" s="1"/>
  <c r="J27"/>
  <c r="J35" s="1"/>
  <c r="O27"/>
  <c r="F36" l="1"/>
  <c r="F38"/>
  <c r="I38"/>
  <c r="I36"/>
  <c r="E39"/>
  <c r="D38" i="59"/>
  <c r="J36" i="65"/>
  <c r="J38"/>
  <c r="L38"/>
  <c r="L36"/>
  <c r="K39"/>
  <c r="J38" i="59"/>
  <c r="J39" i="65" l="1"/>
  <c r="I38" i="59"/>
  <c r="D39"/>
  <c r="F40" s="1"/>
  <c r="D40"/>
  <c r="F39" i="65"/>
  <c r="E38" i="59"/>
  <c r="E39" s="1"/>
  <c r="J39"/>
  <c r="J40"/>
  <c r="I39" i="65"/>
  <c r="H38" i="59"/>
  <c r="L39" i="65"/>
  <c r="K38" i="59"/>
  <c r="K40" l="1"/>
  <c r="K39"/>
  <c r="I39"/>
  <c r="I40"/>
  <c r="H40"/>
  <c r="H39"/>
</calcChain>
</file>

<file path=xl/comments1.xml><?xml version="1.0" encoding="utf-8"?>
<comments xmlns="http://schemas.openxmlformats.org/spreadsheetml/2006/main">
  <authors>
    <author>Ecovidi</author>
  </authors>
  <commentList>
    <comment ref="S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W przypadku kolektorów słonecznych i paneli fotowoltaicznych - powierzchnia [m2], w przypadku pozostałych OZE moc [kW]</t>
        </r>
      </text>
    </comment>
    <comment ref="B29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Emisja dla energii elektrycznej obliczona w zakładce Oświetlenie, energia elektryczna 2015</t>
        </r>
      </text>
    </comment>
  </commentList>
</comments>
</file>

<file path=xl/comments2.xml><?xml version="1.0" encoding="utf-8"?>
<comments xmlns="http://schemas.openxmlformats.org/spreadsheetml/2006/main">
  <authors>
    <author>Ecovidi</author>
  </authors>
  <commentList>
    <comment ref="B6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Obliczono: ilość ludzie w gminie x średnie zużycie w gospodarstwie GUS 2015</t>
        </r>
      </text>
    </comment>
    <comment ref="B7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Obliczono: średnie zużycie w sektorze na m2 powierzchni x powierzchnia w sektorze (dane na podstawie danych w bazie autorów dla kilkunastu gmin o charakterze wiejskim)</t>
        </r>
      </text>
    </comment>
  </commentList>
</comments>
</file>

<file path=xl/comments3.xml><?xml version="1.0" encoding="utf-8"?>
<comments xmlns="http://schemas.openxmlformats.org/spreadsheetml/2006/main">
  <authors>
    <author>Ecovidi</author>
    <author>a</author>
  </authors>
  <commentList>
    <comment ref="A31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Odsetek poszczególnych palenisk/kotłów założono na podstawie uśrednionych danych pochodzacych z inwentaryzacji kotłów z sektora mieszkaniowego z kilkunastu gmin będących w bazie danych autorów opracowania
</t>
        </r>
      </text>
    </comment>
    <comment ref="A45" authorId="1">
      <text>
        <r>
          <rPr>
            <b/>
            <sz val="9"/>
            <color indexed="81"/>
            <rFont val="Tahoma"/>
            <family val="2"/>
            <charset val="238"/>
          </rPr>
          <t>[%] określa sprawnosc cieplną kotła/paleniska</t>
        </r>
      </text>
    </comment>
  </commentList>
</comments>
</file>

<file path=xl/comments4.xml><?xml version="1.0" encoding="utf-8"?>
<comments xmlns="http://schemas.openxmlformats.org/spreadsheetml/2006/main">
  <authors>
    <author>Piotr Stańczuk</author>
    <author>Ecovidi</author>
    <author>a</author>
  </authors>
  <commentList>
    <comment ref="B7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Ecovidi:
</t>
        </r>
        <r>
          <rPr>
            <sz val="9"/>
            <color indexed="81"/>
            <rFont val="Tahoma"/>
            <family val="2"/>
            <charset val="238"/>
          </rPr>
          <t>Do zużycia gazu doliczono ilość gazu na c.w.u w przypadku wystapienia jednofunkcyjnych piecyków do c.w.u</t>
        </r>
        <r>
          <rPr>
            <b/>
            <sz val="9"/>
            <color indexed="81"/>
            <rFont val="Tahoma"/>
            <family val="2"/>
            <charset val="238"/>
          </rPr>
          <t>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10" authorId="1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gdzie: 1,8 - założona powierzchnia kolektora [m2], 520kWh/1000*3,6 - założona ilość energii wyproukowana przez 1m2 kolektora [GJ]</t>
        </r>
      </text>
    </comment>
    <comment ref="B1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Ecovidi:
</t>
        </r>
        <r>
          <rPr>
            <sz val="9"/>
            <color indexed="81"/>
            <rFont val="Tahoma"/>
            <family val="2"/>
            <charset val="238"/>
          </rPr>
          <t xml:space="preserve">Przy założeniu, że 1 kW zainstalowanej mocy daje 1000kWh energii cieplnej
</t>
        </r>
      </text>
    </comment>
    <comment ref="B29" authorId="2">
      <text>
        <r>
          <rPr>
            <b/>
            <sz val="9"/>
            <color indexed="81"/>
            <rFont val="Tahoma"/>
            <family val="2"/>
            <charset val="238"/>
          </rPr>
          <t xml:space="preserve">gdzie: 0,766 MWh - średnie zuzycie energii elektrycznej na mieszkańca w gminie (dane GUS), 8283 - ilosc mieszkańców w gminie(dane:GUS)
</t>
        </r>
      </text>
    </comment>
    <comment ref="A31" authorId="2">
      <text>
        <r>
          <rPr>
            <b/>
            <sz val="9"/>
            <color indexed="81"/>
            <rFont val="Tahoma"/>
            <family val="2"/>
            <charset val="238"/>
          </rPr>
          <t>Zużycie gazu w gospodarstwach domowych - dane GUS 2018</t>
        </r>
      </text>
    </comment>
    <comment ref="B35" authorId="2">
      <text>
        <r>
          <rPr>
            <b/>
            <sz val="9"/>
            <color indexed="81"/>
            <rFont val="Tahoma"/>
            <family val="2"/>
            <charset val="238"/>
          </rPr>
          <t>Dane GUS 2018</t>
        </r>
      </text>
    </comment>
    <comment ref="A57" authorId="2">
      <text>
        <r>
          <rPr>
            <b/>
            <sz val="9"/>
            <color indexed="81"/>
            <rFont val="Tahoma"/>
            <family val="2"/>
            <charset val="238"/>
          </rPr>
          <t>[%] określa sprawnosc cieplną kotła/paleniska</t>
        </r>
      </text>
    </comment>
    <comment ref="A75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Emisja z podgrzewaczy została wliczona do łącznej emisji w sektorze. Ponadto podgrzewacze nie zostały wliczone do łącznej liczby kotłów [komórka B74].</t>
        </r>
      </text>
    </comment>
  </commentList>
</comments>
</file>

<file path=xl/comments5.xml><?xml version="1.0" encoding="utf-8"?>
<comments xmlns="http://schemas.openxmlformats.org/spreadsheetml/2006/main">
  <authors>
    <author>a</author>
  </authors>
  <commentList>
    <comment ref="A29" authorId="0">
      <text>
        <r>
          <rPr>
            <b/>
            <sz val="9"/>
            <color indexed="81"/>
            <rFont val="Tahoma"/>
            <family val="2"/>
            <charset val="238"/>
          </rPr>
          <t>[%] określa sprawnosc cieplną kotła/paleniska</t>
        </r>
      </text>
    </comment>
  </commentList>
</comments>
</file>

<file path=xl/comments6.xml><?xml version="1.0" encoding="utf-8"?>
<comments xmlns="http://schemas.openxmlformats.org/spreadsheetml/2006/main">
  <authors>
    <author>a</author>
    <author>Piotr Stańczuk</author>
  </authors>
  <commentList>
    <comment ref="C4" authorId="0">
      <text>
        <r>
          <rPr>
            <b/>
            <sz val="9"/>
            <color indexed="81"/>
            <rFont val="Tahoma"/>
            <family val="2"/>
            <charset val="238"/>
          </rPr>
          <t>Ecovidi:
obliczone na podstawie wskaźników energochłonności - patrz dokument PGN</t>
        </r>
      </text>
    </comment>
    <comment ref="C6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Ecovidi:
</t>
        </r>
        <r>
          <rPr>
            <sz val="9"/>
            <color indexed="81"/>
            <rFont val="Tahoma"/>
            <family val="2"/>
            <charset val="238"/>
          </rPr>
          <t xml:space="preserve">Z uwagi na brak danych oraz nieprzemysłowy charakter gminy założono zbliżoną strukturę zużycia paliw do sektora mieszkaniowego.
</t>
        </r>
      </text>
    </comment>
    <comment ref="B16" authorId="0">
      <text>
        <r>
          <rPr>
            <sz val="9"/>
            <color indexed="81"/>
            <rFont val="Tahoma"/>
            <family val="2"/>
            <charset val="238"/>
          </rPr>
          <t>Brak danych od operatora sieci. Szacunek na podstawie wskaźnika zużycia energii elektrycznej MWh/m2 powierzchni sektora w gminie (wskaźnik na podstawie danych uśrednionych z kilkudziesięciu gmin o podobnym charakterze). Wartość dotyczy zużycia na potrzeby bytowe w sektorze (bez zużycia technologicznego). Wartość może nie odzwierciedlać rzeczywistego zużycia w sektorze</t>
        </r>
        <r>
          <rPr>
            <b/>
            <sz val="9"/>
            <color indexed="81"/>
            <rFont val="Tahoma"/>
            <family val="2"/>
            <charset val="238"/>
          </rPr>
          <t xml:space="preserve">.
</t>
        </r>
      </text>
    </comment>
    <comment ref="A33" authorId="0">
      <text>
        <r>
          <rPr>
            <b/>
            <sz val="9"/>
            <color indexed="81"/>
            <rFont val="Tahoma"/>
            <family val="2"/>
            <charset val="238"/>
          </rPr>
          <t>[%] określa sprawnosc cieplną kotła/paleniska</t>
        </r>
      </text>
    </comment>
  </commentList>
</comments>
</file>

<file path=xl/comments7.xml><?xml version="1.0" encoding="utf-8"?>
<comments xmlns="http://schemas.openxmlformats.org/spreadsheetml/2006/main">
  <authors>
    <author>Ecovidi</author>
  </authors>
  <commentList>
    <comment ref="AP5" authorId="0">
      <text>
        <r>
          <rPr>
            <b/>
            <sz val="8"/>
            <color indexed="81"/>
            <rFont val="Tahoma"/>
            <family val="2"/>
            <charset val="238"/>
          </rPr>
          <t>Ecovidi:</t>
        </r>
        <r>
          <rPr>
            <sz val="8"/>
            <color indexed="81"/>
            <rFont val="Tahoma"/>
            <family val="2"/>
            <charset val="238"/>
          </rPr>
          <t xml:space="preserve">
Formuła do oświetlenia</t>
        </r>
      </text>
    </comment>
    <comment ref="AP6" authorId="0">
      <text>
        <r>
          <rPr>
            <b/>
            <sz val="8"/>
            <color indexed="81"/>
            <rFont val="Tahoma"/>
            <family val="2"/>
            <charset val="238"/>
          </rPr>
          <t>Ecovidi:</t>
        </r>
        <r>
          <rPr>
            <sz val="8"/>
            <color indexed="81"/>
            <rFont val="Tahoma"/>
            <family val="2"/>
            <charset val="238"/>
          </rPr>
          <t xml:space="preserve">
Formuła do oświetlenia</t>
        </r>
      </text>
    </comment>
    <comment ref="AP7" authorId="0">
      <text>
        <r>
          <rPr>
            <b/>
            <sz val="8"/>
            <color indexed="81"/>
            <rFont val="Tahoma"/>
            <family val="2"/>
            <charset val="238"/>
          </rPr>
          <t>Ecovidi:</t>
        </r>
        <r>
          <rPr>
            <sz val="8"/>
            <color indexed="81"/>
            <rFont val="Tahoma"/>
            <family val="2"/>
            <charset val="238"/>
          </rPr>
          <t xml:space="preserve">
Formuła do oświetlenia</t>
        </r>
      </text>
    </comment>
    <comment ref="AP8" authorId="0">
      <text>
        <r>
          <rPr>
            <b/>
            <sz val="8"/>
            <color indexed="81"/>
            <rFont val="Tahoma"/>
            <family val="2"/>
            <charset val="238"/>
          </rPr>
          <t>Ecovidi:</t>
        </r>
        <r>
          <rPr>
            <sz val="8"/>
            <color indexed="81"/>
            <rFont val="Tahoma"/>
            <family val="2"/>
            <charset val="238"/>
          </rPr>
          <t xml:space="preserve">
Formuła do oświetlenia</t>
        </r>
      </text>
    </comment>
  </commentList>
</comments>
</file>

<file path=xl/comments8.xml><?xml version="1.0" encoding="utf-8"?>
<comments xmlns="http://schemas.openxmlformats.org/spreadsheetml/2006/main">
  <authors>
    <author>ELKRUKO</author>
  </authors>
  <commentList>
    <comment ref="N3" authorId="0">
      <text>
        <r>
          <rPr>
            <sz val="8"/>
            <color indexed="81"/>
            <rFont val="Tahoma"/>
            <family val="2"/>
            <charset val="238"/>
          </rPr>
          <t xml:space="preserve">Jeślinie ma ilości paliwa
</t>
        </r>
      </text>
    </comment>
  </commentList>
</comments>
</file>

<file path=xl/comments9.xml><?xml version="1.0" encoding="utf-8"?>
<comments xmlns="http://schemas.openxmlformats.org/spreadsheetml/2006/main">
  <authors>
    <author>Piotr Stańczuk</author>
    <author>Ecovidi</author>
  </authors>
  <commentList>
    <comment ref="M23" authorId="0">
      <text>
        <r>
          <rPr>
            <b/>
            <sz val="9"/>
            <color indexed="81"/>
            <rFont val="Tahoma"/>
            <family val="2"/>
            <charset val="238"/>
          </rPr>
          <t>Ecovidi:
Dane Kobize 2019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N28" authorId="1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korekcja wartości z 2014 roku z uwagi dokładniejsze przeliczenie zużycia paliw x wartość opałowa</t>
        </r>
      </text>
    </comment>
  </commentList>
</comments>
</file>

<file path=xl/comments10.xml><?xml version="1.0" encoding="utf-8"?>
<comments xmlns="http://schemas.openxmlformats.org/spreadsheetml/2006/main">
  <authors>
    <author>Ecovidi</author>
    <author>Piotr Stańczuk</author>
  </authors>
  <commentList>
    <comment ref="AV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Przyjęto uzysk energii cieplnej z 1m2 powierzchni kolektora 520 kWh/rok
w przyp. PC Przy założeniu produkcji energii z 1 kW - 1,25 MWh/rok (na podstawie uśrednionych danych producentów PC)</t>
        </r>
      </text>
    </comment>
    <comment ref="BE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Przyjeto produkcje energii elektrycznej z 1 kWp - 1 MWh/rok (uśrednionie dane na podstawie stron internetowych producentów instalacji fotowoltaicznych)</t>
        </r>
      </text>
    </comment>
    <comment ref="AB13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AB14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AB15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</commentList>
</comments>
</file>

<file path=xl/comments11.xml><?xml version="1.0" encoding="utf-8"?>
<comments xmlns="http://schemas.openxmlformats.org/spreadsheetml/2006/main">
  <authors>
    <author>Ecovidi</author>
    <author>a</author>
    <author>Piotr Stańczuk</author>
    <author>Autor</author>
  </authors>
  <commentList>
    <comment ref="AV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Przyjęto uzysk energii cieplnej z 1m2 powierzchni kolektora 520 kWh/rok
w przyp. PC Przy założeniu produkcji energii z 1 kW - 1,25 MWh/rok (na podstawie uśrednionych danych producentów PC)</t>
        </r>
      </text>
    </comment>
    <comment ref="BE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Przyjeto produkcje energii elektrycznej z 1 kWp - 1 MWh/rok (uśrednionie dane na podstawie stron internetowych producentów instalacji fotowoltaicznych)</t>
        </r>
      </text>
    </comment>
    <comment ref="T12" authorId="1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Na podstawie kasiążki"Audyt energetyczny na potrzeby termomodernizacji oraz oceny energetycznej budynków" praca zbiorowa pod redakcją Adama Tabora, Politechnika Krakowska</t>
        </r>
      </text>
    </comment>
    <comment ref="R14" authorId="2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Szacowane zużycie jednego punktu oświetlenia w roku bazowym
</t>
        </r>
      </text>
    </comment>
    <comment ref="R19" authorId="2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średnie zużycie Ek w gospodarstwie domowym ogrzewającym paliwem stałym przed modernizacją/wymianą w roku bazowym 
</t>
        </r>
      </text>
    </comment>
    <comment ref="S24" authorId="2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moc planowanych instalacji [kW]</t>
        </r>
      </text>
    </comment>
    <comment ref="T24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 założeniu produkcji energii z 1 kW - 1,25 MWh/rok (na podstawie uśrednionych danych producentów PC)</t>
        </r>
      </text>
    </comment>
    <comment ref="AB24" authorId="3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Założno wskaźnik COP dla PC 4,3 (norma PN-EN 14511)</t>
        </r>
      </text>
    </comment>
    <comment ref="S25" authorId="2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moc planowanych instalacji [kW]. Założono 10 instalacji po 6 kW
</t>
        </r>
      </text>
    </comment>
    <comment ref="T25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 założeniu produkcji energii z 1 kWp - 1 MWh/rok</t>
        </r>
      </text>
    </comment>
  </commentList>
</comments>
</file>

<file path=xl/comments12.xml><?xml version="1.0" encoding="utf-8"?>
<comments xmlns="http://schemas.openxmlformats.org/spreadsheetml/2006/main">
  <authors>
    <author>Ecovidi</author>
    <author>Piotr Stańczuk</author>
    <author>a</author>
    <author>Autor</author>
  </authors>
  <commentList>
    <comment ref="AU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Przyjęto uzysk energii cieplnej z 1m2 powierzchni kolektora 520 kWh/rok
w przyp. PC Przy założeniu produkcji energii z 1 kW - 1,25 MWh/rok (na podstawie uśrednionych danych producentów PC)</t>
        </r>
      </text>
    </comment>
    <comment ref="BD3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Przyjeto produkcje energii elektrycznej z 1 kWp - 1 MWh/rok (uśrednionie dane na podstawie stron internetowych producentów instalacji fotowoltaicznych)</t>
        </r>
      </text>
    </comment>
    <comment ref="AA9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T11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mieszkaniach komunalnych przed wymianą mieszkańcy korzystają z piecokuchni i kóz (ok. 50/50%)
</t>
        </r>
      </text>
    </comment>
    <comment ref="AA12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AA13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AA14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W tym przyp. po termomodernizacji energią cieplną końcowa jest energia wyprodukowana przez PC</t>
        </r>
      </text>
    </comment>
    <comment ref="U16" authorId="2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Na podstawie kasiążki"Audyt energetyczny na potrzeby termomodernizacji oraz oceny energetycznej budynków" praca zbiorowa pod redakcją Adama Tabora, Politechnika Krakowska</t>
        </r>
      </text>
    </comment>
    <comment ref="B22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Do obliczeń efektu założono że spośród planowanych wymian w przyszłych latach: 35% stanowią PC, 45% kotły gazowe, a 20% kotły na biomasę.</t>
        </r>
      </text>
    </comment>
    <comment ref="Q22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średnie zużycie Ek w gospodarstwie domowym ogrzewającym paliwem stałym przed modernizacją/wymianą w roku bazowym 
</t>
        </r>
      </text>
    </comment>
    <comment ref="R26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moc planowanych instalacji [kW]</t>
        </r>
      </text>
    </comment>
    <comment ref="S26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 założeniu produkcji energii z 1 kW - 1,25 MWh/rok (na podstawie uśrednionych danych producentów PC)</t>
        </r>
      </text>
    </comment>
    <comment ref="AA26" authorId="3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Założno wskaźnik COP dla PC 4,3 (norma PN-EN 14511)</t>
        </r>
      </text>
    </comment>
    <comment ref="R27" authorId="1">
      <text>
        <r>
          <rPr>
            <b/>
            <sz val="9"/>
            <color indexed="81"/>
            <rFont val="Tahoma"/>
            <family val="2"/>
            <charset val="238"/>
          </rPr>
          <t>Piotr Stańczuk:</t>
        </r>
        <r>
          <rPr>
            <sz val="9"/>
            <color indexed="81"/>
            <rFont val="Tahoma"/>
            <family val="2"/>
            <charset val="238"/>
          </rPr>
          <t xml:space="preserve">
moc planowanych instalacji [kW]. Założono 10 instalacji po 6 kW
</t>
        </r>
      </text>
    </comment>
    <comment ref="S27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Przy założeniu produkcji energii z 1 kWp - 1 MWh/rok</t>
        </r>
      </text>
    </comment>
  </commentList>
</comments>
</file>

<file path=xl/comments13.xml><?xml version="1.0" encoding="utf-8"?>
<comments xmlns="http://schemas.openxmlformats.org/spreadsheetml/2006/main">
  <authors>
    <author>Ecovidi</author>
  </authors>
  <commentList>
    <comment ref="F24" authorId="0">
      <text>
        <r>
          <rPr>
            <b/>
            <sz val="9"/>
            <color indexed="81"/>
            <rFont val="Tahoma"/>
            <family val="2"/>
            <charset val="238"/>
          </rPr>
          <t>Ecovidi:</t>
        </r>
        <r>
          <rPr>
            <sz val="9"/>
            <color indexed="81"/>
            <rFont val="Tahoma"/>
            <family val="2"/>
            <charset val="238"/>
          </rPr>
          <t xml:space="preserve">
Założono na podstawie motoryzacyjnych potrali internetowych</t>
        </r>
      </text>
    </comment>
  </commentList>
</comments>
</file>

<file path=xl/sharedStrings.xml><?xml version="1.0" encoding="utf-8"?>
<sst xmlns="http://schemas.openxmlformats.org/spreadsheetml/2006/main" count="2014" uniqueCount="736">
  <si>
    <t>mikrokogeneracja</t>
  </si>
  <si>
    <t>biomasa</t>
  </si>
  <si>
    <t>pompa ciepła</t>
  </si>
  <si>
    <t>kolektory słoneczne</t>
  </si>
  <si>
    <t>Lp</t>
  </si>
  <si>
    <t>Liczba mieszkańców</t>
  </si>
  <si>
    <t>gaz ziemny</t>
  </si>
  <si>
    <t>olej opałowy</t>
  </si>
  <si>
    <t>węgiel</t>
  </si>
  <si>
    <t>energia elektryczna</t>
  </si>
  <si>
    <t>ciepło sieciowe</t>
  </si>
  <si>
    <t>gaz płynny</t>
  </si>
  <si>
    <t>ograniczenie emisji 
(Mg CO2/rok)</t>
  </si>
  <si>
    <t>inne</t>
  </si>
  <si>
    <t>nowe źródło ciepła</t>
  </si>
  <si>
    <t>zastępowane źródło</t>
  </si>
  <si>
    <t>uzysk (GJ/kWt)</t>
  </si>
  <si>
    <t>produkcja (GJ)</t>
  </si>
  <si>
    <t>moc (kWt)</t>
  </si>
  <si>
    <t>wskaźnik emisji 
(kg CO2/GJ)</t>
  </si>
  <si>
    <t>Typ budynku</t>
  </si>
  <si>
    <t>wolnostojący</t>
  </si>
  <si>
    <t>szeregowiec</t>
  </si>
  <si>
    <t>bliźniak</t>
  </si>
  <si>
    <t>Rok budowy</t>
  </si>
  <si>
    <t>Źródło ciepła</t>
  </si>
  <si>
    <t>gaz</t>
  </si>
  <si>
    <t>pelet</t>
  </si>
  <si>
    <t>sieć ciepłownicza</t>
  </si>
  <si>
    <t>prąd</t>
  </si>
  <si>
    <t>Ilość zużywanego nośnika rocznie [Mg] w przyp. gazu i oleju [m3]</t>
  </si>
  <si>
    <t>brak</t>
  </si>
  <si>
    <t>kompletna</t>
  </si>
  <si>
    <t>częściowa</t>
  </si>
  <si>
    <t>Wskażnik energo (kWh/m2*rok)</t>
  </si>
  <si>
    <t>% powierzchni</t>
  </si>
  <si>
    <t>Do 1 966</t>
  </si>
  <si>
    <t>270-350</t>
  </si>
  <si>
    <t>1967-1985</t>
  </si>
  <si>
    <t>240-280</t>
  </si>
  <si>
    <t>1986-1992</t>
  </si>
  <si>
    <t>160-200</t>
  </si>
  <si>
    <t>1993-1996</t>
  </si>
  <si>
    <t>120-160</t>
  </si>
  <si>
    <t>Od 1997</t>
  </si>
  <si>
    <t>90-120</t>
  </si>
  <si>
    <t>oblicz</t>
  </si>
  <si>
    <t>Zużycie energii na co [GJ]</t>
  </si>
  <si>
    <t>mnożnik</t>
  </si>
  <si>
    <t>V</t>
  </si>
  <si>
    <t>L</t>
  </si>
  <si>
    <t>osoby</t>
  </si>
  <si>
    <t>Cw</t>
  </si>
  <si>
    <t>tuz</t>
  </si>
  <si>
    <t>czas uzytkowania</t>
  </si>
  <si>
    <t>kt</t>
  </si>
  <si>
    <t>mnoznik korekcyjny</t>
  </si>
  <si>
    <t>gest</t>
  </si>
  <si>
    <t>1000 kg/m3</t>
  </si>
  <si>
    <t>delta t</t>
  </si>
  <si>
    <t xml:space="preserve"> = 55-10</t>
  </si>
  <si>
    <t>wsp. Wykorzyst.</t>
  </si>
  <si>
    <t>kWh/rok</t>
  </si>
  <si>
    <t>Q=</t>
  </si>
  <si>
    <t>MWh/rok</t>
  </si>
  <si>
    <t>GJ/rok</t>
  </si>
  <si>
    <t>PM 10</t>
  </si>
  <si>
    <t>PM 2,5</t>
  </si>
  <si>
    <t>Co2</t>
  </si>
  <si>
    <t>BaP</t>
  </si>
  <si>
    <t>S02</t>
  </si>
  <si>
    <t>N0x</t>
  </si>
  <si>
    <t>CO</t>
  </si>
  <si>
    <t>poniżej 50 kW</t>
  </si>
  <si>
    <t>mpec</t>
  </si>
  <si>
    <t>Zanieczyszenie</t>
  </si>
  <si>
    <t>Olej opałowy</t>
  </si>
  <si>
    <t>termo</t>
  </si>
  <si>
    <t>Źródło cwu jeśli inne niż co</t>
  </si>
  <si>
    <t>drewno</t>
  </si>
  <si>
    <t>Emisja z CO lub CO+CWU</t>
  </si>
  <si>
    <t>Emisja z CWU - oddzielne źródło</t>
  </si>
  <si>
    <t>Emisja łącznie</t>
  </si>
  <si>
    <t>Rok produkcji kotła</t>
  </si>
  <si>
    <t>Moc kotła [kW]</t>
  </si>
  <si>
    <t>Czy jest OŹE</t>
  </si>
  <si>
    <t>Oźe</t>
  </si>
  <si>
    <t xml:space="preserve">tak </t>
  </si>
  <si>
    <t>nie</t>
  </si>
  <si>
    <t>Jeśli tak wskaż typ</t>
  </si>
  <si>
    <t>wiatrak przydomowy</t>
  </si>
  <si>
    <t>ogniwa fotowoltaiczne</t>
  </si>
  <si>
    <t>GWC</t>
  </si>
  <si>
    <t>kocioł gazowy</t>
  </si>
  <si>
    <t>kocioł olejowy</t>
  </si>
  <si>
    <t>-</t>
  </si>
  <si>
    <t>Zużycie energii na cwu [GJ] jeśli inne źródło</t>
  </si>
  <si>
    <t>kWh</t>
  </si>
  <si>
    <t>MWh</t>
  </si>
  <si>
    <t>GJ</t>
  </si>
  <si>
    <t>CO2</t>
  </si>
  <si>
    <t>Ulica</t>
  </si>
  <si>
    <t xml:space="preserve">nr </t>
  </si>
  <si>
    <t>nowoczesny kocioł węglowy</t>
  </si>
  <si>
    <t xml:space="preserve">pompa ciepła </t>
  </si>
  <si>
    <t>Pow</t>
  </si>
  <si>
    <t>Niwka</t>
  </si>
  <si>
    <t>Zabawa</t>
  </si>
  <si>
    <t>Biskupice Radłowskie Bohaterów Wrzesnia</t>
  </si>
  <si>
    <t>tak</t>
  </si>
  <si>
    <t>nie wiem</t>
  </si>
  <si>
    <t>Zużycie energii elektrycznej cele inne niż co oraz cwu [MWh]</t>
  </si>
  <si>
    <t>ODSETEK W LATACH I ODSETEK TERMO</t>
  </si>
  <si>
    <t>co</t>
  </si>
  <si>
    <t>do 1966</t>
  </si>
  <si>
    <t>% termo</t>
  </si>
  <si>
    <t xml:space="preserve">gaz </t>
  </si>
  <si>
    <t>olej</t>
  </si>
  <si>
    <t>Zużycie energii cieplnej łącznie [GJ]</t>
  </si>
  <si>
    <t>łącznie</t>
  </si>
  <si>
    <t>efektywn z 1m2 kol sł</t>
  </si>
  <si>
    <t>cz</t>
  </si>
  <si>
    <t>mieszk</t>
  </si>
  <si>
    <t>pow mieszk</t>
  </si>
  <si>
    <t>paliwa w gminie ankiety</t>
  </si>
  <si>
    <t>cała gmina</t>
  </si>
  <si>
    <t>wiek budynków</t>
  </si>
  <si>
    <t>odsetek termo</t>
  </si>
  <si>
    <t>OŹE (kolektory sloneczne)</t>
  </si>
  <si>
    <t>Energia elektryczna</t>
  </si>
  <si>
    <t>szt</t>
  </si>
  <si>
    <t>MWh/dom</t>
  </si>
  <si>
    <t>gospo</t>
  </si>
  <si>
    <t>MWh/os</t>
  </si>
  <si>
    <t>os/gosp</t>
  </si>
  <si>
    <t>CO2*</t>
  </si>
  <si>
    <t>Sektor</t>
  </si>
  <si>
    <t>Łącznie</t>
  </si>
  <si>
    <t>Substancja</t>
  </si>
  <si>
    <t>NOx</t>
  </si>
  <si>
    <t>Ilość [Mg/rok]</t>
  </si>
  <si>
    <t>Zużycie energii elektrycznej [MWh]</t>
  </si>
  <si>
    <t>Wskaźnik emisji CO2 [Mg/MWh]</t>
  </si>
  <si>
    <t>Emisja CO2 [Mg/rok]</t>
  </si>
  <si>
    <t>spr</t>
  </si>
  <si>
    <t>Nazwa budynku</t>
  </si>
  <si>
    <t>Wybierz</t>
  </si>
  <si>
    <t>Lokalizacja</t>
  </si>
  <si>
    <r>
      <t>Powierzchnia
ogrzewana  (m</t>
    </r>
    <r>
      <rPr>
        <b/>
        <vertAlign val="superscript"/>
        <sz val="5"/>
        <color theme="1"/>
        <rFont val="Czcionka tekstu podstawowego"/>
        <charset val="238"/>
      </rPr>
      <t>2</t>
    </r>
    <r>
      <rPr>
        <b/>
        <sz val="5"/>
        <color theme="1"/>
        <rFont val="Czcionka tekstu podstawowego"/>
        <charset val="238"/>
      </rPr>
      <t xml:space="preserve">)
</t>
    </r>
    <r>
      <rPr>
        <b/>
        <sz val="8"/>
        <color theme="1"/>
        <rFont val="Czcionka tekstu podstawowego"/>
        <charset val="238"/>
      </rPr>
      <t/>
    </r>
  </si>
  <si>
    <t>Ociepl. ścian</t>
  </si>
  <si>
    <t>Ociepl. stropu</t>
  </si>
  <si>
    <t>Okna</t>
  </si>
  <si>
    <t>Liczba osób</t>
  </si>
  <si>
    <t>Produkcja energii pierwotnej [GJ]</t>
  </si>
  <si>
    <t xml:space="preserve">Zużycie energii elektr. łącznie [MWh/rok]              </t>
  </si>
  <si>
    <t>Oświetlenie [MWh/rok]</t>
  </si>
  <si>
    <t>Zaintere- sowanie wymianą źródła ciepła</t>
  </si>
  <si>
    <t>Data planowanej inwestycji</t>
  </si>
  <si>
    <t>Planowana termom.</t>
  </si>
  <si>
    <t>Audyt eneregtyczny</t>
  </si>
  <si>
    <t>szk</t>
  </si>
  <si>
    <t>nowe</t>
  </si>
  <si>
    <t xml:space="preserve">stare </t>
  </si>
  <si>
    <t>usługi</t>
  </si>
  <si>
    <t>sport,rekr</t>
  </si>
  <si>
    <t>Lata budowy</t>
  </si>
  <si>
    <t>Wskaźniki ciepła woda</t>
  </si>
  <si>
    <t>prąd [SEAP]</t>
  </si>
  <si>
    <t>prąd [SEAP] Mg/MWh</t>
  </si>
  <si>
    <t>Zmniejszenie zużycia energii</t>
  </si>
  <si>
    <t>Zużycie energii pierwotnej [GJ]</t>
  </si>
  <si>
    <t>OŹE kol. słon.</t>
  </si>
  <si>
    <t>Emisja łącznie [Mg/rok]</t>
  </si>
  <si>
    <t>Dane do obliczeń emisji</t>
  </si>
  <si>
    <t>Suma:</t>
  </si>
  <si>
    <t>*CO2 podane w setkach ton</t>
  </si>
  <si>
    <t xml:space="preserve">Energia pierwotna w gminie pochodząca z danego nośnika wg ankiet </t>
  </si>
  <si>
    <t>[GJ]</t>
  </si>
  <si>
    <t>[%]</t>
  </si>
  <si>
    <t>Nośnik energii</t>
  </si>
  <si>
    <t>wsp.energochł. zakres [kWh/m2*rok]</t>
  </si>
  <si>
    <t>Termomoderni-zacja</t>
  </si>
  <si>
    <t>Baza emisji zanieczyszczeń dla sektora przemysłowego (na podstawie otrzymanych zwrotnie ankiet)</t>
  </si>
  <si>
    <t>Diesel</t>
  </si>
  <si>
    <t>Benzyna</t>
  </si>
  <si>
    <t>motocykle</t>
  </si>
  <si>
    <t>LPG</t>
  </si>
  <si>
    <t>osobowy</t>
  </si>
  <si>
    <t>B(a)P</t>
  </si>
  <si>
    <t>Olej napędowy</t>
  </si>
  <si>
    <t xml:space="preserve">Benzyna </t>
  </si>
  <si>
    <t>Emisja SO2 kg</t>
  </si>
  <si>
    <t>Emisja B(a)P g</t>
  </si>
  <si>
    <t>Emisja PM 10 kg</t>
  </si>
  <si>
    <t>Emisja PM 2,5 kg</t>
  </si>
  <si>
    <t>Emisja NOX kg</t>
  </si>
  <si>
    <t>Emisja CO kg</t>
  </si>
  <si>
    <t>Wyliczone zużycie paliwa kg</t>
  </si>
  <si>
    <t>SO2</t>
  </si>
  <si>
    <t>Wyliczona liczba przejechanych kilometrów</t>
  </si>
  <si>
    <t>diesel</t>
  </si>
  <si>
    <t>benzyna</t>
  </si>
  <si>
    <t>Gęstość paliw napędowych</t>
  </si>
  <si>
    <t>Średnie zużycie paliwa g/km</t>
  </si>
  <si>
    <t>osobowe</t>
  </si>
  <si>
    <t>Ogółem</t>
  </si>
  <si>
    <t xml:space="preserve">Rozkład pojazdów ( % ogólnej liczby przejechanych km ) ustalony na etapie gromadzenia danych </t>
  </si>
  <si>
    <t>Razem</t>
  </si>
  <si>
    <t>Autobusy</t>
  </si>
  <si>
    <t>Samochody ciężarowe</t>
  </si>
  <si>
    <t>Lekkie samochody ciężarowe</t>
  </si>
  <si>
    <t>Motocykle</t>
  </si>
  <si>
    <t>Samochody osobowe i mikrobusy</t>
  </si>
  <si>
    <t>razem</t>
  </si>
  <si>
    <t>Rodzaj</t>
  </si>
  <si>
    <t>Paliwo</t>
  </si>
  <si>
    <t>lekki ciężarowy</t>
  </si>
  <si>
    <t>ciężarowy</t>
  </si>
  <si>
    <t>Opisy</t>
  </si>
  <si>
    <t>Obliczeniowe zużycie paliw [kg]</t>
  </si>
  <si>
    <t>Wartość opałowa [MJ/kg]</t>
  </si>
  <si>
    <t>[g/dm3]</t>
  </si>
  <si>
    <t>[kg/m3]</t>
  </si>
  <si>
    <t>Założenia do obliczeń oraz listy wybieralne</t>
  </si>
  <si>
    <t>Oświetlenie wskaźniki</t>
  </si>
  <si>
    <t>Mg/CO2 na MWh</t>
  </si>
  <si>
    <t>MWh/m2*rok</t>
  </si>
  <si>
    <t>podst. W/m2</t>
  </si>
  <si>
    <t>podst [MWh/m2*rok]</t>
  </si>
  <si>
    <t>rozszerz.</t>
  </si>
  <si>
    <t>pełny</t>
  </si>
  <si>
    <t>to [h/rok]</t>
  </si>
  <si>
    <t>urz</t>
  </si>
  <si>
    <t>szpit</t>
  </si>
  <si>
    <t>Ocielenie stropu</t>
  </si>
  <si>
    <t>częściowe</t>
  </si>
  <si>
    <t>Ocieplenie ścian</t>
  </si>
  <si>
    <t>Mnożnik</t>
  </si>
  <si>
    <t>kocioł węglowy</t>
  </si>
  <si>
    <t>Mg/GJ</t>
  </si>
  <si>
    <t>Okna i drzwi</t>
  </si>
  <si>
    <t>Wartości opałowe* [GJ/Mg]</t>
  </si>
  <si>
    <t xml:space="preserve">**obliczono po przyjęciu uśrednionych sprawności urządzeń grzewczych oraz średnich cen nośników energii wg cenników dostawców </t>
  </si>
  <si>
    <t>Koszt w zł uzyskania 1 GJ ciepła z danego nośnika**</t>
  </si>
  <si>
    <t>Uśredniony koszt za 1 kWh energii elektrycznej w gminie [zł]</t>
  </si>
  <si>
    <t>Wsp. energochł. rzeczywisty [kWh/m2*rok]</t>
  </si>
  <si>
    <t xml:space="preserve"> Zaopatrzenie ludności w wodę, cena za dostarczanie 1 m 3 wody (Wod-Kan Kielce) 
</t>
  </si>
  <si>
    <t>Przeciętne normy zużycia wody na jednego mieszkańca w gospodarstwach domowych [m3/mies.]</t>
  </si>
  <si>
    <t>Przeciętne normy zużycia wody na os. - instytucje, zakłady [m3/mies.]</t>
  </si>
  <si>
    <t>pow łącznie</t>
  </si>
  <si>
    <t>gosp.dom.</t>
  </si>
  <si>
    <t>szkoły, urzędy</t>
  </si>
  <si>
    <t>*żródło KOBIZE 2015, uśrednione na podstawie obliczeń własnych, dla gazu współczynnik konwersji [GJ/m3] wg PGNiG, dla oleju [GJ/m3]</t>
  </si>
  <si>
    <t>Ilość paneli</t>
  </si>
  <si>
    <t>Emisja CO2 Mg</t>
  </si>
  <si>
    <t>Przeliczenie na 1 km</t>
  </si>
  <si>
    <t>Liczba przejechanych kilometrów rocznie [km]</t>
  </si>
  <si>
    <t>GJ/m3</t>
  </si>
  <si>
    <t>częściowa wymiana</t>
  </si>
  <si>
    <t>tak, z dofinansowaniem</t>
  </si>
  <si>
    <t>Baza emisji zanieczyszczeń dla sektora produkcyjnego i przemysłowego (na podstawie ankiet od przedsiębiorców)</t>
  </si>
  <si>
    <t>Nazwa zakładu</t>
  </si>
  <si>
    <t>Źródło ciepła lub ciepła technologicznego (nośnik)</t>
  </si>
  <si>
    <t>Ilość zużywanego nośnika rocznie (technologia, c.o.) [Mg] w przyp. gazu i oleju [m3]</t>
  </si>
  <si>
    <t>Charakterystyka źródła ciepła</t>
  </si>
  <si>
    <t>Zużycie energii  łącznie (technologia,ogrzewanie) [GJ]</t>
  </si>
  <si>
    <t xml:space="preserve">Energii elektr. łącznie moc zamówiona [MW]              </t>
  </si>
  <si>
    <t>Ciepło odpadowe (technologia)</t>
  </si>
  <si>
    <t>Ciepło odpadowe [GJ]</t>
  </si>
  <si>
    <t>sieć</t>
  </si>
  <si>
    <t>SUMA:</t>
  </si>
  <si>
    <t>uśrednione</t>
  </si>
  <si>
    <t xml:space="preserve">sieć </t>
  </si>
  <si>
    <t>kol.słon.</t>
  </si>
  <si>
    <t>energia el.</t>
  </si>
  <si>
    <t>kocioł na biomasę</t>
  </si>
  <si>
    <t>*ilośc CO2 podana w setkach ton</t>
  </si>
  <si>
    <t>Qgosp.dom.=</t>
  </si>
  <si>
    <t>Qszkoły,urzędy=</t>
  </si>
  <si>
    <t>Wskaźniki emisji dla kotłów &lt;50 kW</t>
  </si>
  <si>
    <t>Zanieczyszczenie</t>
  </si>
  <si>
    <t>Wskaźniki emisji (źródła &gt;50kW)</t>
  </si>
  <si>
    <t>miano</t>
  </si>
  <si>
    <t>Paliwo stałe</t>
  </si>
  <si>
    <t>Gaz ziemny</t>
  </si>
  <si>
    <t>Biomasa drewno</t>
  </si>
  <si>
    <t>(z wyłączeniem biomasy)</t>
  </si>
  <si>
    <t>Kotły starej generacji</t>
  </si>
  <si>
    <t>Kotły automatyczne nowej generacji</t>
  </si>
  <si>
    <t>Pył PM 10,</t>
  </si>
  <si>
    <t>g/GJ</t>
  </si>
  <si>
    <t>Pył PM 2,5</t>
  </si>
  <si>
    <r>
      <t>CO</t>
    </r>
    <r>
      <rPr>
        <vertAlign val="subscript"/>
        <sz val="8"/>
        <color theme="1"/>
        <rFont val="Calibri"/>
        <family val="2"/>
        <charset val="238"/>
        <scheme val="minor"/>
      </rPr>
      <t>2</t>
    </r>
  </si>
  <si>
    <t>kg/GJ</t>
  </si>
  <si>
    <t>Benzo(a)piren</t>
  </si>
  <si>
    <t>mg/GJ</t>
  </si>
  <si>
    <t>no</t>
  </si>
  <si>
    <r>
      <t>SO</t>
    </r>
    <r>
      <rPr>
        <vertAlign val="subscript"/>
        <sz val="8"/>
        <color theme="1"/>
        <rFont val="Calibri"/>
        <family val="2"/>
        <charset val="238"/>
        <scheme val="minor"/>
      </rPr>
      <t>2</t>
    </r>
  </si>
  <si>
    <r>
      <t>NO</t>
    </r>
    <r>
      <rPr>
        <vertAlign val="subscript"/>
        <sz val="8"/>
        <color theme="1"/>
        <rFont val="Calibri"/>
        <family val="2"/>
        <charset val="238"/>
        <scheme val="minor"/>
      </rPr>
      <t>x</t>
    </r>
  </si>
  <si>
    <t>Wskaźniki emisji (źródła &lt;50kW)</t>
  </si>
  <si>
    <t>Wskaźniki emisji</t>
  </si>
  <si>
    <r>
      <t>CO</t>
    </r>
    <r>
      <rPr>
        <vertAlign val="subscript"/>
        <sz val="10"/>
        <color theme="1"/>
        <rFont val="Times New Roman"/>
        <family val="1"/>
        <charset val="238"/>
      </rPr>
      <t>2</t>
    </r>
  </si>
  <si>
    <r>
      <t>SO</t>
    </r>
    <r>
      <rPr>
        <vertAlign val="subscript"/>
        <sz val="10"/>
        <color theme="1"/>
        <rFont val="Times New Roman"/>
        <family val="1"/>
        <charset val="238"/>
      </rPr>
      <t>2</t>
    </r>
  </si>
  <si>
    <r>
      <t>NO</t>
    </r>
    <r>
      <rPr>
        <vertAlign val="subscript"/>
        <sz val="10"/>
        <color theme="1"/>
        <rFont val="Times New Roman"/>
        <family val="1"/>
        <charset val="238"/>
      </rPr>
      <t>x</t>
    </r>
  </si>
  <si>
    <t>&gt;50 kW</t>
  </si>
  <si>
    <t>Budynki gminne</t>
  </si>
  <si>
    <t>kW</t>
  </si>
  <si>
    <t>1.</t>
  </si>
  <si>
    <t>Ilość energii odzyskiwanej</t>
  </si>
  <si>
    <t>Na cele</t>
  </si>
  <si>
    <t>Opis systemu odzysku ciepła</t>
  </si>
  <si>
    <t>Baza emisji zanieczyszczeń dla sektora budynków i urządzeń komunalnych (gminnych) wraz ze zużyciem energii końcowej</t>
  </si>
  <si>
    <t>Ogrzewanie olejowe</t>
  </si>
  <si>
    <t>Ogrzewanie gazowe</t>
  </si>
  <si>
    <t>Ogrzewanie elektryczne</t>
  </si>
  <si>
    <t>Miejska sieć ciepłownicza</t>
  </si>
  <si>
    <t>Kominek</t>
  </si>
  <si>
    <t>zasilanie ręczne kotły pozaklasowe</t>
  </si>
  <si>
    <t>zasilanie ręczne, kotły - klasa 4</t>
  </si>
  <si>
    <t>zasilanie automatyczne kotły - Ecodesign</t>
  </si>
  <si>
    <t>zasilanie ręczne, kotły - klasa 3</t>
  </si>
  <si>
    <t>zasilanie automatyczne kotły - klasa 5</t>
  </si>
  <si>
    <t>zasilanie automatyczne kotły - klasa 4</t>
  </si>
  <si>
    <t>zasilanie ręczne, kotły - klasa 5</t>
  </si>
  <si>
    <t>2</t>
  </si>
  <si>
    <t>zasilanie ręczne, kotły - klasa Ecodesign</t>
  </si>
  <si>
    <t>zasilanie automatyczne kotły - klasa 3</t>
  </si>
  <si>
    <t>zasilanie automatycznie kotły pozaklasowe</t>
  </si>
  <si>
    <t>Indywidualny piec C.O., Paliwo - Węgiel</t>
  </si>
  <si>
    <t>Piec kaflowy, Paliwo - Węgiel</t>
  </si>
  <si>
    <t>Trzon kuchenny, Paliwo - Węgiel</t>
  </si>
  <si>
    <t>Niekreślony typ pieca, Paliwo - gaz,olej opałowy oraz ogrzewanie elektryczne i sieciowe</t>
  </si>
  <si>
    <t>PM10 [g / GJ]</t>
  </si>
  <si>
    <t>PM2,5 [g / GJ]</t>
  </si>
  <si>
    <t>CO2 [g / GJ]</t>
  </si>
  <si>
    <t>BaP [g / GJ]</t>
  </si>
  <si>
    <t>SO2 [g / GJ]</t>
  </si>
  <si>
    <t>Nox [g / GJ]</t>
  </si>
  <si>
    <t>CO [g / GJ]</t>
  </si>
  <si>
    <t>zasilanie automatyczne kotły pozaklasowe</t>
  </si>
  <si>
    <t>Indywidualny piec C.O., Paliwo - Biomasa/Drewno</t>
  </si>
  <si>
    <r>
      <rPr>
        <sz val="9"/>
        <rFont val="Calibri"/>
        <family val="2"/>
        <charset val="238"/>
      </rPr>
      <t>Sprawność cieplna poniżej 80 proc.</t>
    </r>
  </si>
  <si>
    <r>
      <rPr>
        <sz val="9"/>
        <rFont val="Calibri"/>
        <family val="2"/>
        <charset val="238"/>
      </rPr>
      <t>Sprawność cieplna co najmniej 80 proc</t>
    </r>
  </si>
  <si>
    <r>
      <rPr>
        <sz val="9"/>
        <rFont val="Calibri"/>
        <family val="2"/>
        <charset val="238"/>
      </rPr>
      <t>Wyposażony w urządzenie redukujące emisję</t>
    </r>
  </si>
  <si>
    <r>
      <rPr>
        <sz val="9"/>
        <rFont val="Calibri"/>
        <family val="2"/>
        <charset val="238"/>
      </rPr>
      <t>Spełniający wymagania ekoprojektu</t>
    </r>
  </si>
  <si>
    <t>Koza (na drewno, węgiel), Paliwo - Węgiel</t>
  </si>
  <si>
    <t>Koza (na drewno, węgiel), Paliwo - Drewno</t>
  </si>
  <si>
    <t>Kominek, Paliwo - Biomasa/Drewno</t>
  </si>
  <si>
    <t>Trzon kuchenny, Paliwo - Drewno</t>
  </si>
  <si>
    <t>Inne, Paliwo - Węgiel</t>
  </si>
  <si>
    <t>Inne, Paliwo - Biomasa/Drewno</t>
  </si>
  <si>
    <t>CO2 [Mg / MWh]</t>
  </si>
  <si>
    <t>Zużycie energii na co i cwu [GJ]</t>
  </si>
  <si>
    <t>Powierzchnia mieszkalna - cały sektor [m2]</t>
  </si>
  <si>
    <t>Powierzchnia mieszkalna wg ankiet [m2]</t>
  </si>
  <si>
    <t>Zużycie energii wg ankiet [GJ/rok]</t>
  </si>
  <si>
    <t>Zużycie energii w gminie [GJ/rok]</t>
  </si>
  <si>
    <t>Zużycie energii końcowej wraz z emisją zanieczyszczeń dla sektora budynków mieszkalnych</t>
  </si>
  <si>
    <t>Źródło ciepła dla co oraz cwu</t>
  </si>
  <si>
    <t>Przeliczenie ilości energii cieplnej na cały sektor mieszkaniowy w gminie</t>
  </si>
  <si>
    <t>Piec kaflowy, Paliwo stałe</t>
  </si>
  <si>
    <t>Indywidualny piec C.O., paliwo stałe</t>
  </si>
  <si>
    <t>Obliczenie odsetka poszczególnych rodzajów kotłów/palenisk na podstawie inwentaryzacji oraz łącznej emisji zanieczyszczeń z sektora mieszkaniowego</t>
  </si>
  <si>
    <t>Trzon kuchenny, Paliwo stałe</t>
  </si>
  <si>
    <t>Zużycie energii elektrycznej w sektorze łącznie:</t>
  </si>
  <si>
    <t>Łączna emisja zanieczyszczeń w gminie w sektorze mieszkaniowym</t>
  </si>
  <si>
    <t>Łącznie:</t>
  </si>
  <si>
    <t>Emisja z paliw węglowych</t>
  </si>
  <si>
    <t>Zużycie energii w gminie [GJ/rok]:</t>
  </si>
  <si>
    <t>Energia końcowa [GJ]</t>
  </si>
  <si>
    <t>Emisja z biomasy</t>
  </si>
  <si>
    <t>piec kaflowy &lt;80%</t>
  </si>
  <si>
    <t>piec kaflowy &gt;80%</t>
  </si>
  <si>
    <t>koza &lt;80%</t>
  </si>
  <si>
    <t>koza &gt;80%</t>
  </si>
  <si>
    <t>kominek &lt;80%</t>
  </si>
  <si>
    <t>trzon kuchenny &gt;80%</t>
  </si>
  <si>
    <t>trzon kuchenny &lt;80%</t>
  </si>
  <si>
    <t xml:space="preserve">pozaklasowe zasilanie ręczne kotły </t>
  </si>
  <si>
    <t xml:space="preserve">pozaklasowe zasilanie automatycznie kotły </t>
  </si>
  <si>
    <t xml:space="preserve">3 klasa zasilanie ręczne, kotły </t>
  </si>
  <si>
    <t xml:space="preserve">4 klasa zasilanie ręczne, kotły </t>
  </si>
  <si>
    <t>5 klasa zasilanie ręczne, kotły</t>
  </si>
  <si>
    <t>Ecodesign zasilanie ręczne, kotły</t>
  </si>
  <si>
    <t>4 klasa zasilanie automatyczne kotły</t>
  </si>
  <si>
    <t>5 klasa zasilanie automatyczne kotły</t>
  </si>
  <si>
    <t>Ecodesign zasilanie automatyczne kotły</t>
  </si>
  <si>
    <t>3 klasa zasilanie automatyczne kotły</t>
  </si>
  <si>
    <t xml:space="preserve">biomasa </t>
  </si>
  <si>
    <r>
      <t xml:space="preserve">KOREKTA </t>
    </r>
    <r>
      <rPr>
        <sz val="9"/>
        <color theme="1"/>
        <rFont val="Czcionka tekstu podstawowego"/>
        <charset val="238"/>
      </rPr>
      <t>z uwagi na weryfikację ilości zużytego w gospodarstwach domowych gazu</t>
    </r>
  </si>
  <si>
    <t>kominek &gt;80%</t>
  </si>
  <si>
    <t>kocioł na olej opałowy</t>
  </si>
  <si>
    <t xml:space="preserve">Koza </t>
  </si>
  <si>
    <t>Emisja z paliw gazowych</t>
  </si>
  <si>
    <t>Emisja z oleju opałowego</t>
  </si>
  <si>
    <t>Ilość poszczególnych palenisk/kotłów na podstawie ankiet</t>
  </si>
  <si>
    <t>Zużycie energii końcowej wraz z emisją zanieczyszczeń dla sektora budynków związanych z działalnościa gospodarczą</t>
  </si>
  <si>
    <t>Nazwa budynku, adres</t>
  </si>
  <si>
    <t>Termomodernizacja</t>
  </si>
  <si>
    <t>Zużycie energii cieplnej, końcowej [GJ/rok]</t>
  </si>
  <si>
    <t>Transport prywatny i komercyjny</t>
  </si>
  <si>
    <t>długość [km]</t>
  </si>
  <si>
    <t>Wskaźniki emisji dla poszczególnych zanieczyszczeń [g/kg]</t>
  </si>
  <si>
    <t>Ilośc km SDR drogi gminne i powiatowe [km/doba]</t>
  </si>
  <si>
    <t xml:space="preserve"> </t>
  </si>
  <si>
    <t xml:space="preserve">Łączna emisja w sektorze transportu w gminie </t>
  </si>
  <si>
    <t>Sektor transportu</t>
  </si>
  <si>
    <r>
      <t>CO</t>
    </r>
    <r>
      <rPr>
        <b/>
        <vertAlign val="subscript"/>
        <sz val="8"/>
        <rFont val="Calibri"/>
        <family val="2"/>
        <charset val="238"/>
      </rPr>
      <t>2</t>
    </r>
    <r>
      <rPr>
        <b/>
        <vertAlign val="subscript"/>
        <sz val="8"/>
        <color theme="0" tint="-0.14999847407452621"/>
        <rFont val="Calibri"/>
        <family val="2"/>
        <charset val="238"/>
      </rPr>
      <t>*</t>
    </r>
  </si>
  <si>
    <r>
      <t>BaP</t>
    </r>
    <r>
      <rPr>
        <b/>
        <sz val="8"/>
        <color theme="0" tint="-0.14999847407452621"/>
        <rFont val="Calibri"/>
        <family val="2"/>
        <charset val="238"/>
      </rPr>
      <t>**</t>
    </r>
  </si>
  <si>
    <r>
      <t>SO</t>
    </r>
    <r>
      <rPr>
        <b/>
        <vertAlign val="subscript"/>
        <sz val="8"/>
        <rFont val="Calibri"/>
        <family val="2"/>
        <charset val="238"/>
      </rPr>
      <t>2</t>
    </r>
  </si>
  <si>
    <t>Łącznie gmina</t>
  </si>
  <si>
    <t>Energia końcowa  [GJ/rok]</t>
  </si>
  <si>
    <t>Energia końcowa [MWh/rok]</t>
  </si>
  <si>
    <t xml:space="preserve"> ciężarowe</t>
  </si>
  <si>
    <t>Wskaźniki emisji dla poszczególnych rodzajów paliw i typów kotłów wg normy PN EN 303-5:2012</t>
  </si>
  <si>
    <t>Podgrzewacze c.w.u</t>
  </si>
  <si>
    <t>Emisja z paliw węglowych w przeliczeniu na całą gminę</t>
  </si>
  <si>
    <t>Emisja z biomasy w przeliczeniu na całą gminę</t>
  </si>
  <si>
    <t>Emisja z paliw gazowych w przeliczeniu na całą gminę</t>
  </si>
  <si>
    <t>Emisja z oleju opałowego w przeliczeniu na całą gminę</t>
  </si>
  <si>
    <t>Łączna emisja zanieczyszczeń w gminie w sektorze działalności gospodarczej</t>
  </si>
  <si>
    <t>Z uwagi na brak danych dla sektora działalności gospodarczej oraz nieprzemysłowy charakter gminy założono zbliżoną strukturę zużycia paliw oraz kotłów/palenisk do sektora mieszkaniowego. Emisję zanieczyszczeń obliczono analogicznie jak dla sektora mieszkaniowego. Daną wyjściową do obliczeń jest obliczona wg wskazników ilość energi końcowej, cieplnej oraz elektrycznej w sektorze.</t>
  </si>
  <si>
    <t>Odsetek poszczególnych rodzajów kotłów/palenisk na podstawie inwentaryzacji sektora mieszkaniowego:</t>
  </si>
  <si>
    <t>OZE</t>
  </si>
  <si>
    <t>Dane dot. OZE</t>
  </si>
  <si>
    <t>Zużycie energii cieplnej na podstawie inwentaryzacji w 2016 roku</t>
  </si>
  <si>
    <t xml:space="preserve">Odsetek poszczególnych palenisk/kotłów </t>
  </si>
  <si>
    <t>pompy ciepła</t>
  </si>
  <si>
    <t xml:space="preserve">Energia elektryczna wraz z oświetleniem ulicznym - emisja zanieczyszczeń wraz ze zużyciem </t>
  </si>
  <si>
    <t>Oświetlenie</t>
  </si>
  <si>
    <t>Mieszkalnictwo</t>
  </si>
  <si>
    <t>Działalność gospodarcza</t>
  </si>
  <si>
    <t>Z uwagi na brak danych dla sektora działalności gospodarczej oraz nieprzemysłowy charakter gminy założono zbliżoną strukturę zużycia paliw oraz kotłów/palenisk do sektora mieszkaniowego. Emisję zanieczyszczeń obliczono analogicznie jak dla sektora mieszkaniowego. Dane wyjściowe do obliczeń jest obliczona wg wskazników ilość energi końcowej, cieplnej oraz elektrycznej w sektorze.</t>
  </si>
  <si>
    <t>Średni Dobowy Ruch (SDR) w 2010 roku</t>
  </si>
  <si>
    <t>Zużycie energii elektrycznej [GJ]</t>
  </si>
  <si>
    <t>Budynek Urzędu Gminy, budynek OSP - dzierżawiony przez Gminę</t>
  </si>
  <si>
    <t>Gminna Biblioteka Publiczna w Bystrej Podhalańskiej, GminnyOśrodek Pomocy Społecznej</t>
  </si>
  <si>
    <t>Przedszkole Publiczne w Bystrej Podh.</t>
  </si>
  <si>
    <t>Przedszkole Publiczne w Sidzinie</t>
  </si>
  <si>
    <t>Zespół Szkół im. Dzieci Zamojszczyzny w Sidzinie</t>
  </si>
  <si>
    <t>Dom Nauczyciela Sidzina</t>
  </si>
  <si>
    <t>Zespół Szkół im. św. Jana Kantego w Bystrej Podh.</t>
  </si>
  <si>
    <t>GMINNY OŚRODEK KULTURY PROMOCJI TURYSTYKI I SPORTU BYSTRA-SIDZINA W SIDZINIE, OSP w Sidzinie</t>
  </si>
  <si>
    <t>SKANSEN W SIDZINIE- MUZEUM KULTURY LUDOWEJ</t>
  </si>
  <si>
    <t>Ośrodek Zdrowia  w Sidzinie</t>
  </si>
  <si>
    <t>Ośrodek Zdrowia w Bystrej Podhalańskiej,  Niepubliczny Zakład Opieki Zdrowotnej "MEDICUS KULKA HOLDING"- Budynek Mienia komunalnego</t>
  </si>
  <si>
    <t>Budynek mieszkalny nr 636 Sidzina</t>
  </si>
  <si>
    <t>budynek socjalny nr 449 Bystra</t>
  </si>
  <si>
    <t>budynek socjalny nr 449A</t>
  </si>
  <si>
    <t>Bud.magazynu bez numeru-wynajmowany</t>
  </si>
  <si>
    <t>Zuzycie technologiczne (wod-kan)</t>
  </si>
  <si>
    <t xml:space="preserve">pompy ciepła </t>
  </si>
  <si>
    <t>Typ kotła</t>
  </si>
  <si>
    <t>Podsumowanie</t>
  </si>
  <si>
    <t>PM 10 [Mg/rok]</t>
  </si>
  <si>
    <t>PM 2,5 [Mg/rok]</t>
  </si>
  <si>
    <t>CO2 [Mg/rok]</t>
  </si>
  <si>
    <t>BaP [Mg/rok]</t>
  </si>
  <si>
    <t>S02 [Mg/rok]</t>
  </si>
  <si>
    <t>N0x [Mg/rok]</t>
  </si>
  <si>
    <t>CO [Mg/rok]</t>
  </si>
  <si>
    <t>powiat suski</t>
  </si>
  <si>
    <t>Drogi gminne i powiatowe</t>
  </si>
  <si>
    <t>Udział tranzytu i ruchu miejscowego w bilansie gminy</t>
  </si>
  <si>
    <t>Struktura % pojazdów według paliw</t>
  </si>
  <si>
    <t>Dane za rok 2015 niewynikające z obliczeń pochodzą z PGN 2016</t>
  </si>
  <si>
    <t>Rok bazowy 2015</t>
  </si>
  <si>
    <t>Ilość energi cieplnej z ankietyzacji sektora mieszkaniowego w 2015 roku:</t>
  </si>
  <si>
    <t>Zużycie energii końcowej wraz z emisją zanieczyszczeń dla sektora budynków mieszkalnych w roku 2015</t>
  </si>
  <si>
    <t>Zużycie energii końcowej wraz z emisją zanieczyszczeń dla sektora budynków związanych z działalnością gospodarczą w roku 2015</t>
  </si>
  <si>
    <t>Baza emisji zanieczyszczeń oraz zużycie energii dla sektora transportu w 2015</t>
  </si>
  <si>
    <t>Wskaźniki ilościowe dla poszczególnych działań w gminie</t>
  </si>
  <si>
    <t>Działania termomodernizacyjne - obniżenie zużycia energii dla poszczególnych zabiegów termomodernizacyjnych</t>
  </si>
  <si>
    <t>L.p.</t>
  </si>
  <si>
    <t xml:space="preserve">Nazwa działania / Poddziałania </t>
  </si>
  <si>
    <t>Energia końcowa uniknięta  [GJ/rok]</t>
  </si>
  <si>
    <t>Produkcja energii z OŹE  [GJ/rok]</t>
  </si>
  <si>
    <t>Emisja emisji zanieczyszczeń przed wymianą  [Mg/rok]</t>
  </si>
  <si>
    <t>Uśrednione zużycie w GJ/rok po termomod.</t>
  </si>
  <si>
    <t>Emisja emisji zanieczyszczeń po wymianie   [Mg/rok]</t>
  </si>
  <si>
    <t>Ocieplenie stropu/dachu</t>
  </si>
  <si>
    <t>strop nad piwnicą</t>
  </si>
  <si>
    <t>wymiana okien i drzwi</t>
  </si>
  <si>
    <t>Automatyka pogodowa i urządzenia regulacyjne</t>
  </si>
  <si>
    <t>kompleksowa modenizacja inst. co. I cwu</t>
  </si>
  <si>
    <t>Wymiana kotła (wzrost sprawności)</t>
  </si>
  <si>
    <t>Łączne obniżenie zużycia energii</t>
  </si>
  <si>
    <t>Wartość przez ktorą należy pomnożyć zużycie energii przed termomodernizacją</t>
  </si>
  <si>
    <t>5-15%</t>
  </si>
  <si>
    <t>10-20%</t>
  </si>
  <si>
    <t>2-5%</t>
  </si>
  <si>
    <t>10-15%</t>
  </si>
  <si>
    <t>10-50%</t>
  </si>
  <si>
    <t>Działanie 1. Ograniczenie zużycia energii i wytwarzanie energii z odnawialnych źródeł - budynki i infrastruktura publiczna.</t>
  </si>
  <si>
    <t xml:space="preserve">DZIAŁANIE 3. Ograniczenie emisji pyłów i wytwarzanie energii z odnawialnych źródeł - budownictwo mieszkaniowe
</t>
  </si>
  <si>
    <t>Uśrednione zużycie w GJ/rok dla wszystkich inwestycji przed wymianą</t>
  </si>
  <si>
    <t>Uśrednione zużycie w GJ/rok dla wszystkich inwestycji po wymianie</t>
  </si>
  <si>
    <t>Całkowity efekt ekologiczny</t>
  </si>
  <si>
    <t xml:space="preserve">Wskaźniki ilościowe i jakościowe w odniesieniu do wartości całkowitych w gminie </t>
  </si>
  <si>
    <t>Zakres</t>
  </si>
  <si>
    <t>Emisja zanieczyszczeń  [Mg/rok]</t>
  </si>
  <si>
    <t>Przyjęty procent oszczedności</t>
  </si>
  <si>
    <t>Efekt ekologiczny [MWh/rok]</t>
  </si>
  <si>
    <t>Szacowana oszczędność energii wymiana z sodowej na led</t>
  </si>
  <si>
    <t xml:space="preserve"> 50%-80%</t>
  </si>
  <si>
    <t xml:space="preserve">Ilość punktów świetlnych do wymiany </t>
  </si>
  <si>
    <t>Zużycie energii elektrycznej dla punktów przed wymianą</t>
  </si>
  <si>
    <t>Montaż OŹE</t>
  </si>
  <si>
    <t>Uniknięta emisja zanieczyszczeń [Mg/rok]</t>
  </si>
  <si>
    <t>Uniknięta emisja CO2 dla fotowoltaiki [Mg/rok]</t>
  </si>
  <si>
    <t>Zakup nowego taboru autobusowego wraz z wycofaniem co najmniej takiej samej ilości taboru autobusowego niespełniającego normy emisji EURO 6</t>
  </si>
  <si>
    <t>Średnie spalanie przed wymianą taboru 36 l/100 km po wymianie 1 kWh/1 km</t>
  </si>
  <si>
    <t>Gestosć oleju napedowego przyjęto na poziomie 840 kg/m3</t>
  </si>
  <si>
    <t xml:space="preserve">Wartość opałowa oraz Wskaźnik emisji CO”  podano w oparciu o wskaźniki emisji wg KOBIZE „Wartości opałowe (WO) i wskaźniki emisji CO2  (WE) w roku 2013 do raportowania w ramach Wspólnotowego Systemu Handlu Uprawnieniami do Emisji za rok 2016” </t>
  </si>
  <si>
    <t>Tabela 1. Emisja CO2 z taboru autobusowego napędzanego paliwami płynnymi przed reazlizacją inwestycji</t>
  </si>
  <si>
    <t>Liczba autobusów [szt.]</t>
  </si>
  <si>
    <t>Rodzaj paliwa</t>
  </si>
  <si>
    <t>Łączna liczba kilometrów dla taboru napędzanego paliwem płynnym/ rok</t>
  </si>
  <si>
    <t>Średnia liczba kilometrów dla jednego autobusu /rok</t>
  </si>
  <si>
    <t>Średnie spalanie [l/100 km]</t>
  </si>
  <si>
    <t>Łączne zużycie paliwa m3/rok]</t>
  </si>
  <si>
    <t>Gęstość paliwa [kg/m3]</t>
  </si>
  <si>
    <t>Łączna ilość paliwa w kg/rok</t>
  </si>
  <si>
    <t>Wartość opałowa MJ/kg</t>
  </si>
  <si>
    <t>Ilość energii zawartej w paliwie[GJ/rok]</t>
  </si>
  <si>
    <t>Emisja [MgCO2/rok]</t>
  </si>
  <si>
    <t>2.</t>
  </si>
  <si>
    <t>3.</t>
  </si>
  <si>
    <t>4=(3/1)</t>
  </si>
  <si>
    <t>5.</t>
  </si>
  <si>
    <t>6=[(3/100)x5]/1000</t>
  </si>
  <si>
    <t>7.</t>
  </si>
  <si>
    <t>8=(6 x 7)</t>
  </si>
  <si>
    <t>9.</t>
  </si>
  <si>
    <t>10-(8x9)/1000</t>
  </si>
  <si>
    <t>olej napędowy</t>
  </si>
  <si>
    <t>Objaśnienia: „Wartość opałowa” oraz „ Wskaźnik emisji CO2” źródło: „Wartości opałowe (WO) i wskaźniki emisji CO2  (WE) w roku 2013 do raportowania w ramach Wspólnotowego Systemu Handlu Uprawnieniami do Emisji za rok 2016”; gęstość oleju napędowego przyjęto 840 kg/m3 zgodnie z Rozporządzeniem Ministra Środowiska z dnia 27 lutego 2014 r. w sprawie wykazów zawierających informacje i dane o zakresie korzystania ze środowiska oraz o wysokości należnych opłat</t>
  </si>
  <si>
    <t>Średnie spalanie [MWh/1km]</t>
  </si>
  <si>
    <t>Łączne zużycie energii elektrycznej</t>
  </si>
  <si>
    <t>6=3x5</t>
  </si>
  <si>
    <t>8.=7x6</t>
  </si>
  <si>
    <t>Tabela 2. Łaczna emisja z taboru autobusowego przed realizacją inwestycji [Mg/rok]</t>
  </si>
  <si>
    <t>Tabela 3. Emisja CO2 z taboru autobusowego elektrycznego</t>
  </si>
  <si>
    <t xml:space="preserve">Tabela 5. Efekt ekologiczny </t>
  </si>
  <si>
    <t>Energia uniknięta [GJ/rok]</t>
  </si>
  <si>
    <t xml:space="preserve">Licza autobusów wynosi </t>
  </si>
  <si>
    <t xml:space="preserve">Dystans pokonywany przez autobusy wynosi </t>
  </si>
  <si>
    <t xml:space="preserve">zasilanie automatyczne kotły - klasa 3 </t>
  </si>
  <si>
    <t>Efekt ekologiczny [MgC02/rok]</t>
  </si>
  <si>
    <t>Wkażnik emisji dla energii elektrycznej z pierwotnej wersji PGN:</t>
  </si>
  <si>
    <t xml:space="preserve">Produkcja energii z OŹE  </t>
  </si>
  <si>
    <t>[GJ/rok]</t>
  </si>
  <si>
    <t>kWh/rok]</t>
  </si>
  <si>
    <t>Redukcja [%] w roku 2020 w stosunku do wartości całkowitych w gminie w roku bazowym (w przypadku OŹE - wzrost). Wartości osiągnięte.</t>
  </si>
  <si>
    <t>Redukcja emisji zanieczyszczeń   [Mg/rok]</t>
  </si>
  <si>
    <t>Emisja emisji zanieczyszczeń przed modernizacją  [Mg/rok]</t>
  </si>
  <si>
    <t>Emisja emisji zanieczyszczeń po modernizacji  [Mg/rok]</t>
  </si>
  <si>
    <t>Kolektory słoneczne [m2] lub PC [kW]</t>
  </si>
  <si>
    <t>Uśrednione zużycie w GJ/rok w 1 gospodarstwie w gminie</t>
  </si>
  <si>
    <t>Ilość inwestycji [szt], w przypadku OZE patrz komentarz</t>
  </si>
  <si>
    <t>Energia końcowa uniknięta  [MWh/rok]</t>
  </si>
  <si>
    <t>Uśrednione zużycie jednego ptu świetlnego przed modernizacją [MWh]</t>
  </si>
  <si>
    <t>Pompa ciepła - moc [kW]</t>
  </si>
  <si>
    <t>Zużycie energii dla infrastruktury przed termomodernizacją lub wymianą [GJ]</t>
  </si>
  <si>
    <t>Ftowoltaika, moc [kWp]</t>
  </si>
  <si>
    <t>Redukcja [%] w roku 2027 w stosunku do wartości całkowitych w gminie w roku bazowym (w przypadku OŹE - wzrost). Wartości planowane.</t>
  </si>
  <si>
    <t>Działanie 2 łącznie</t>
  </si>
  <si>
    <t>Działanie 1 łącznie</t>
  </si>
  <si>
    <t>Działanie 3 łącznie</t>
  </si>
  <si>
    <t>Cel osiągnięty po zrealizowaniu działań 2016-2020 (ilościowo)</t>
  </si>
  <si>
    <t>Wartość osiągnięta po zrealizowaniu działań 2016-2020 - cała gmina</t>
  </si>
  <si>
    <t>Kontynuacja zadań z PGN 2020</t>
  </si>
  <si>
    <t>Adresat działania</t>
  </si>
  <si>
    <t>Okres realizacji</t>
  </si>
  <si>
    <t>Źródła finansowania</t>
  </si>
  <si>
    <t>Likwidacja kotłów węglowych pozaklasowych – dofinansowanie do montażu pieców na paliwo o zmniejszonej emisji zanieczyszczeń-olej opałowy.</t>
  </si>
  <si>
    <t>Likwidacja kotłów pozaklasowych i montaż pomp ciepła</t>
  </si>
  <si>
    <t>Likwidacja kotłów pozaklasowych – dofinansowanie do montażu kotłów - Ecodesign, biomasa.</t>
  </si>
  <si>
    <t>Likwidacja kotłów pozaklasowych – dofinansowanie do montażu kotłów - Ecodesign, ekogroszek.</t>
  </si>
  <si>
    <t>Likwidacja kotłów węglowych  pozaklasowych  – dofinansowanie do montażu kotłów - kotły  gazowe.</t>
  </si>
  <si>
    <r>
      <t xml:space="preserve">Działanie 2. Ograniczenie emisji z transportu </t>
    </r>
    <r>
      <rPr>
        <sz val="9"/>
        <color theme="1"/>
        <rFont val="Calibri"/>
        <family val="2"/>
        <charset val="238"/>
        <scheme val="minor"/>
      </rPr>
      <t xml:space="preserve"> (z uwagi na trudny do oszacowania efekt związany z modernizacją dróg i budowy ścieżek rowerowych nie dokonano obliczeń).</t>
    </r>
  </si>
  <si>
    <t>Montaż instalacji fotowoltaicznej o mocy 2-10 KW (co najmniej 10 szt.)</t>
  </si>
  <si>
    <t>TABELA Z PIERWOTNEJ WERSJI PGN</t>
  </si>
  <si>
    <t>Nazwa działania</t>
  </si>
  <si>
    <t>Jednostka odpowiedzialna</t>
  </si>
  <si>
    <t>Szacunkowy koszt działania</t>
  </si>
  <si>
    <t>Ograniczenie zużycia energii [MWh/rok]</t>
  </si>
  <si>
    <t>Produkcja energii z OZE [MWh/rok]</t>
  </si>
  <si>
    <t>Redukcja emisji CO2 [Mg/rok]</t>
  </si>
  <si>
    <t>Redukcja emisji pyłu PM10 [Mg/rok]</t>
  </si>
  <si>
    <t>Redukcja emisji pyłu PM2,5 [Mg/rok]</t>
  </si>
  <si>
    <t>Redukcja emisji B(a)P [kg/rok]</t>
  </si>
  <si>
    <t>Wskaźnik monitorowania</t>
  </si>
  <si>
    <t>Przykładowe mierniki monitorowania</t>
  </si>
  <si>
    <t xml:space="preserve">Rzeczywisty koszt [zł] i źródło finansowania </t>
  </si>
  <si>
    <t>Rok realizacji</t>
  </si>
  <si>
    <t>Jeśli realizacja wyszła poza 2020 proszę podac datę zakończenia</t>
  </si>
  <si>
    <t>50 000,00 zł</t>
  </si>
  <si>
    <t>49,64</t>
  </si>
  <si>
    <t>0,00</t>
  </si>
  <si>
    <t>40,31</t>
  </si>
  <si>
    <t>Liczba zmodernizowanych punktów świetlnych [szt./rok]</t>
  </si>
  <si>
    <t>ok. 100</t>
  </si>
  <si>
    <t>RPO WWM, budżet Gminy</t>
  </si>
  <si>
    <t>2023-2024</t>
  </si>
  <si>
    <t>200 000,00 zł</t>
  </si>
  <si>
    <t>2193,29</t>
  </si>
  <si>
    <t>546,67</t>
  </si>
  <si>
    <t>0,04</t>
  </si>
  <si>
    <t>Długość wybudowa -nych/rozbudowanych dróg [km/rok]</t>
  </si>
  <si>
    <t>ok. 2 km</t>
  </si>
  <si>
    <t>100 000,00 zł</t>
  </si>
  <si>
    <t>219,33</t>
  </si>
  <si>
    <t>54,67</t>
  </si>
  <si>
    <t>Długość wybudowa -nych/rozbudowanych dróg rowerowych [km/rok]</t>
  </si>
  <si>
    <t>ok. 1 km</t>
  </si>
  <si>
    <t>Wdrożenie zasad zielonych zamówień publicznych w jednostkach podległych Gminy oraz usprawnień w planowaniu przestrzennym (w tym lokalizacja OZE)</t>
  </si>
  <si>
    <t>0,00 zł</t>
  </si>
  <si>
    <t>Liczba udzielonych zamówień publicznych z uwzlędnieniem kryteriów środowiskowych [szt./rok]</t>
  </si>
  <si>
    <t>ok.5 szt.</t>
  </si>
  <si>
    <t>RPO WWM, środki własne</t>
  </si>
  <si>
    <t>9 000,00 zł</t>
  </si>
  <si>
    <t>Liczba przeprowadzonych kampanii e d u ka cyj no- p ro mocyj nyc h [ szt./ ro k]; liczba uczestników spotkań edukacyjnych [osób/rok]</t>
  </si>
  <si>
    <t>ok. 3 szt dla ok. 100 osób</t>
  </si>
  <si>
    <t>20,00</t>
  </si>
  <si>
    <t>16,24</t>
  </si>
  <si>
    <t>Liczba nowopowstałych instalacji OZE [szt/rok]; roczny uzysk energii z instalacji OZE [MWh/rok; GJ/rok]</t>
  </si>
  <si>
    <t>minimum 5 instalacji OZE</t>
  </si>
  <si>
    <t>600 000,00 zł</t>
  </si>
  <si>
    <t>166,11</t>
  </si>
  <si>
    <t>16,61</t>
  </si>
  <si>
    <t>55,44</t>
  </si>
  <si>
    <t>0,13</t>
  </si>
  <si>
    <t>0,12</t>
  </si>
  <si>
    <t>0,16</t>
  </si>
  <si>
    <t>Uczba budynków poddanych termo-modernizacji [szt./rok]; wielkość zużycia energii cieplnej przed ter-momodernizacją oraz po realizacji nwetstycj [GJ/rok]</t>
  </si>
  <si>
    <t>minimum 12 budynków</t>
  </si>
  <si>
    <t>80 000,00 zł</t>
  </si>
  <si>
    <t>27,69</t>
  </si>
  <si>
    <t>9,24</t>
  </si>
  <si>
    <t>0,02</t>
  </si>
  <si>
    <t>0,03</t>
  </si>
  <si>
    <t>Liczba wymienionych kotłów [szt./rok]; sprawność kotła przed modernizacją oraz po [%]</t>
  </si>
  <si>
    <t>minimum 8 kotłów</t>
  </si>
  <si>
    <t>Budynki komunalne/budynki usługowe</t>
  </si>
  <si>
    <t>173,03</t>
  </si>
  <si>
    <t>57,75</t>
  </si>
  <si>
    <t>0,14</t>
  </si>
  <si>
    <t>0,17</t>
  </si>
  <si>
    <t>Liczba nowych przyłączy do miejskiego systemu ciepłowniczego [szt./rok]</t>
  </si>
  <si>
    <t>ok. 50 nowych przyłączy</t>
  </si>
  <si>
    <t>RPO WWM, budżet Veolia Północ Sp. z o.o.</t>
  </si>
  <si>
    <t>150 000,00 zł</t>
  </si>
  <si>
    <t>95,42</t>
  </si>
  <si>
    <t>30,81</t>
  </si>
  <si>
    <t>Liczba budynków poddanych termo-modernizacji [szt./rok]</t>
  </si>
  <si>
    <t>minimum 3 budynki</t>
  </si>
  <si>
    <t>Stan realizacji zadań</t>
  </si>
  <si>
    <r>
      <rPr>
        <sz val="7"/>
        <rFont val="Arial"/>
        <family val="2"/>
        <charset val="238"/>
      </rPr>
      <t>Oświetlenie uliczne</t>
    </r>
  </si>
  <si>
    <r>
      <rPr>
        <sz val="7"/>
        <rFont val="Arial"/>
        <family val="2"/>
        <charset val="238"/>
      </rPr>
      <t>Gmina Orneta</t>
    </r>
  </si>
  <si>
    <r>
      <rPr>
        <sz val="7"/>
        <rFont val="Arial"/>
        <family val="2"/>
        <charset val="238"/>
      </rPr>
      <t>Urząd Miejski w Ornecie</t>
    </r>
  </si>
  <si>
    <r>
      <rPr>
        <sz val="7"/>
        <rFont val="Arial"/>
        <family val="2"/>
        <charset val="238"/>
      </rPr>
      <t>2017- 2020</t>
    </r>
  </si>
  <si>
    <r>
      <rPr>
        <sz val="7"/>
        <rFont val="Arial"/>
        <family val="2"/>
        <charset val="238"/>
      </rPr>
      <t>Transport</t>
    </r>
  </si>
  <si>
    <r>
      <rPr>
        <sz val="7"/>
        <rFont val="Arial"/>
        <family val="2"/>
        <charset val="238"/>
      </rPr>
      <t>Budowa i rozbudowa dróg</t>
    </r>
  </si>
  <si>
    <r>
      <rPr>
        <sz val="7"/>
        <rFont val="Arial"/>
        <family val="2"/>
        <charset val="238"/>
      </rPr>
      <t>Międzysektorawe</t>
    </r>
  </si>
  <si>
    <r>
      <rPr>
        <sz val="7"/>
        <rFont val="Arial"/>
        <family val="2"/>
        <charset val="238"/>
      </rPr>
      <t>Międzysektorowe</t>
    </r>
  </si>
  <si>
    <r>
      <rPr>
        <sz val="7"/>
        <rFont val="Arial"/>
        <family val="2"/>
        <charset val="238"/>
      </rPr>
      <t>Mieszkańcy Gminy Orneta</t>
    </r>
  </si>
  <si>
    <r>
      <rPr>
        <sz val="7"/>
        <rFont val="Arial"/>
        <family val="2"/>
        <charset val="238"/>
      </rPr>
      <t>Budynki mieszkalne</t>
    </r>
  </si>
  <si>
    <r>
      <rPr>
        <sz val="7"/>
        <rFont val="Arial"/>
        <family val="2"/>
        <charset val="238"/>
      </rPr>
      <t>Montaż instalacji OZE na budynkach mieszkalnych</t>
    </r>
  </si>
  <si>
    <r>
      <rPr>
        <sz val="7"/>
        <rFont val="Arial"/>
        <family val="2"/>
        <charset val="238"/>
      </rPr>
      <t>Mieszkańcy Gminy, administratorzy, zarządcy budynków na terenie Gminy</t>
    </r>
  </si>
  <si>
    <r>
      <rPr>
        <sz val="7"/>
        <rFont val="Arial"/>
        <family val="2"/>
        <charset val="238"/>
      </rPr>
      <t>Wymiana starych kotłów na niskoemisyjne</t>
    </r>
  </si>
  <si>
    <r>
      <rPr>
        <sz val="7"/>
        <rFont val="Arial"/>
        <family val="2"/>
        <charset val="238"/>
      </rPr>
      <t>Podłączenie nowych odbiorców do miejskiego systemu ciepłowniczego</t>
    </r>
  </si>
  <si>
    <r>
      <rPr>
        <sz val="7"/>
        <rFont val="Arial"/>
        <family val="2"/>
        <charset val="238"/>
      </rPr>
      <t>Veolia Północ Sp. z 0.0.</t>
    </r>
  </si>
  <si>
    <r>
      <rPr>
        <sz val="7"/>
        <rFont val="Arial"/>
        <family val="2"/>
        <charset val="238"/>
      </rPr>
      <t>Termomodernizacja budynków komunalnych, użyteczności publicznej i budynków usługowych</t>
    </r>
  </si>
  <si>
    <t>PROCENT ZAKRESU REALIZACJI</t>
  </si>
  <si>
    <t>2016-2020</t>
  </si>
  <si>
    <t>budżet gminy</t>
  </si>
  <si>
    <t>b.d.</t>
  </si>
  <si>
    <t>Gmina monitoruje podłączenia do sieci od roku 2018 (sprawozdania z POP). Podłączenia do sieci oraz nowe węzły (od roku 2021) zostały wykazane w kolejnym arkuszu.</t>
  </si>
  <si>
    <t>Zadanie przesunięte w ramach kompleksowej umowy oświetleniowej zawartej na lata 2022-2028.</t>
  </si>
  <si>
    <t>2018-2019</t>
  </si>
  <si>
    <t xml:space="preserve">budżet gminy 5362 560,00 zł </t>
  </si>
  <si>
    <t>budżet gminy 116 000,00 zł, środki zewnętrzne 350 642,00 zł</t>
  </si>
  <si>
    <t>Nie</t>
  </si>
  <si>
    <t xml:space="preserve">Nie. </t>
  </si>
  <si>
    <t>Tak</t>
  </si>
  <si>
    <t>Częściowo. Zakres realizacji różni się od zaplanowanego. Wszystkie budynki poddane termomodernizacji wykazane w sprawozdaniach z realizacji POP zestawiono w kolejnym arkuszu. Efekt ekologiczny został obliczony stosownie do zrealizowanego zakresu.</t>
  </si>
  <si>
    <t>Tak. Zakres realizacji różni się od zaplanowanego. Wszystkie budynki poddane termomodernizacji wykazane w sprawozdaniach z realizacji POP zestawiono w kolejnym arkuszu. Efekt ekologiczny został obliczony stosownie do zrealizowanego zakresu.</t>
  </si>
  <si>
    <t>ROK</t>
  </si>
  <si>
    <t>2019-2020</t>
  </si>
  <si>
    <t>Termomomodernizacj budynku, sieć ciepłownicza, ul. Zamkowa 24</t>
  </si>
  <si>
    <t>Termomomodernizacj budynku, sieć ciepłownicza, Przemysłowa 3</t>
  </si>
  <si>
    <t>Termomomodernizacj budynku, sieć ciepłownicza, ul. Przemysłowa 13</t>
  </si>
  <si>
    <t>Termomomodernizacj budynku, sieć ciepłownicza, ul. 1 Maja 60</t>
  </si>
  <si>
    <t>1 848 945 – środki własne 
760197 – inne
1 240 472 – RPO WiM
3 849 614 – łącznie</t>
  </si>
  <si>
    <t>KWOTA [zł]</t>
  </si>
  <si>
    <t>Szacunkowe zużycie energii dla infrastruktury przed termomodernizacją lub wymianą [GJ]</t>
  </si>
  <si>
    <t>Termomomodernizacj budynku, ogrzewanie elektryczne, ul. 1 Maja 74</t>
  </si>
  <si>
    <t>Termomomodernizacj budynku, sieć ciepłownicza, ul. Wodna 1</t>
  </si>
  <si>
    <t>291160– środki własne
535763	– inne
826923	– łącznie</t>
  </si>
  <si>
    <t>Efekt ekologiczny za lata 2016-2020 zadania dające policzalny efekt ekologiczny</t>
  </si>
  <si>
    <t>Termomodernizacja budynków, źródło ciepła węgiel: ul. Olsztyńska 15, Miejski Dom Kultury ul. 1 Maja 45; Przedszkole Nr 1 ul. Kopernika 4; Szkoła Podstawowa w Bażynach</t>
  </si>
  <si>
    <t xml:space="preserve">Termomodernizacja budynków, źródło ciepła węgiel, z podłączeniem do sieci ciepłowniczej, ul. Kościuszki 6, Olsztyńska 25, 1 Maja 42, 62 </t>
  </si>
  <si>
    <t>2021-2023</t>
  </si>
  <si>
    <t>2021-2024</t>
  </si>
  <si>
    <t>Likwidacja kotłów węglowych pozaklasowych – dofinansowanie do montażu ogrzewania elektrycznego</t>
  </si>
  <si>
    <t>Likwidacja kotłów węglowych  pozaklasowych  – dofinansowanie do podłączenia do sieci oraz węzły cieplne.</t>
  </si>
  <si>
    <t>Termomodernizacja budynków, źródło ciepła węgiel (węgiel 80%, biomasa 20%), ul. Wola Lipecka 2, ul. Olsztyńska 13</t>
  </si>
  <si>
    <t>3 173 489,90 - środki RPOWiM
2 505 535,59 – środki własne 
202 242,40 – środki inne
5 881 267,89  – łącznie</t>
  </si>
  <si>
    <t>710 883,05 – środki własne
2 301 978,19 – środki inne
3 012 861,24 – łącznie</t>
  </si>
  <si>
    <t xml:space="preserve">243918,65 – środki własne
603451,28 – środki inne
847369,93 – łącznie (bez węzłów)
991 000 – węzły cieplne
</t>
  </si>
  <si>
    <t>Termomodernizacja budynków, źródło ciepła: sieć ciepłownicza, ul. Wodna 1 (Lecznica), ul. Podleśna 8, Przemysłowa 10, Przemysłowa 12, Olsztyńska 15</t>
  </si>
  <si>
    <t>4 959 000 - Program Rządowy Fundusz Polski Ład Program Inwestycji Strategicznych (w tym część środków na remont SP nr 1 w Ornecie)</t>
  </si>
  <si>
    <t xml:space="preserve">Remont budynku Szkoły Podstawowej nr 1 w Ornecie –  remont pomieszczeń, wymiana stolarki okiennej </t>
  </si>
  <si>
    <t>Rewitalizacja  obiektów historycznych miasta Orneta. Ratusz Miejski w Ornecie  –  remont pomieszczeń, wymiana stolarki okiennej.</t>
  </si>
  <si>
    <t>Cele zaplanowane wg pierwotnego PGN</t>
  </si>
  <si>
    <t>Osiągnięcie celów w latach 2016-2020:</t>
  </si>
  <si>
    <t>suma:</t>
  </si>
  <si>
    <t>% realizacji</t>
  </si>
  <si>
    <t>Efekt ekologiczny za lata 2016-2027 - zadania dające policzalny efekt ekologiczny</t>
  </si>
  <si>
    <t xml:space="preserve">Całkowity efekt ekologiczny zrealizowany+planowany w latach 2016-2027 (ilościowo, wartości bezwględne) </t>
  </si>
  <si>
    <t>Wartość planowana  w gminie  łącznie w roku docelowym z uwzględnieniem zrealizowanych działań w latach 2016-2027 (w odniesieniu do wartości z roku bazowego)</t>
  </si>
  <si>
    <t>Termomodernizacja budynków mieszkalnych</t>
  </si>
  <si>
    <t>Modernizacja oświetlenia ulicznego</t>
  </si>
  <si>
    <t>Budowa i rozbudowa sieci dróg rowerowych</t>
  </si>
  <si>
    <t>Działania edukacyjne związane z ograniczeniem emisji, efektywnością energetyczną oraz wykorzystaniem odnawialnych źródeł energii</t>
  </si>
  <si>
    <t>Częściowo.</t>
  </si>
  <si>
    <t>Czy zadanie zrelizowano do roku 2020/opis.</t>
  </si>
  <si>
    <t>Efekt ekologiczny za lata 2016-2024 (stan na 3 kwartał) zadania dające policzalny efekt ekologiczny</t>
  </si>
  <si>
    <t>Osiągnięcie celów w latach 2021-2024:</t>
  </si>
  <si>
    <t>Osiągnięcie celów w latach 2016-2024:</t>
  </si>
  <si>
    <t>Wymiana oświetlenia ulicznego, wymiana lamp sodowych na LED o mocach 8 x 30W + 6 x 70W (zadanie a)</t>
  </si>
  <si>
    <t>(a)</t>
  </si>
  <si>
    <t>MODERNIZACJA OŚWIETLENIA W GMINIE ORNETA W RAMACH ZAWARTEJ UMOWY KOMPLEKSOWEGO OŚWIETLENIA W ILOŚCI 1354 SZT. (zadanie b)</t>
  </si>
  <si>
    <t>(b)</t>
  </si>
  <si>
    <r>
      <t xml:space="preserve">Wartości w roku bazowym (cała gmina). </t>
    </r>
    <r>
      <rPr>
        <i/>
        <sz val="9"/>
        <rFont val="Calibri"/>
        <family val="2"/>
        <charset val="238"/>
        <scheme val="minor"/>
      </rPr>
      <t>Brak wyliczeń w pierwotnej wersji PGN dla pozostałych substancji prócz CO2.</t>
    </r>
  </si>
</sst>
</file>

<file path=xl/styles.xml><?xml version="1.0" encoding="utf-8"?>
<styleSheet xmlns="http://schemas.openxmlformats.org/spreadsheetml/2006/main">
  <numFmts count="13">
    <numFmt numFmtId="43" formatCode="_-* #,##0.00\ _z_ł_-;\-* #,##0.00\ _z_ł_-;_-* &quot;-&quot;??\ _z_ł_-;_-@_-"/>
    <numFmt numFmtId="164" formatCode="0.0"/>
    <numFmt numFmtId="165" formatCode="_-* #,##0\ _z_ł_-;\-* #,##0\ _z_ł_-;_-* &quot;-&quot;??\ _z_ł_-;_-@_-"/>
    <numFmt numFmtId="166" formatCode="0.000"/>
    <numFmt numFmtId="167" formatCode="0.0%"/>
    <numFmt numFmtId="168" formatCode="_-* #,##0.0\ _z_ł_-;\-* #,##0.0\ _z_ł_-;_-* &quot;-&quot;??\ _z_ł_-;_-@_-"/>
    <numFmt numFmtId="169" formatCode="#,##0.0"/>
    <numFmt numFmtId="170" formatCode="#,##0.000000"/>
    <numFmt numFmtId="171" formatCode="_-* #,##0.0000000000\ _z_ł_-;\-* #,##0.0000000000\ _z_ł_-;_-* &quot;-&quot;??\ _z_ł_-;_-@_-"/>
    <numFmt numFmtId="172" formatCode="0.000%"/>
    <numFmt numFmtId="173" formatCode="_-* #,##0.000\ _z_ł_-;\-* #,##0.000\ _z_ł_-;_-* &quot;-&quot;??\ _z_ł_-;_-@_-"/>
    <numFmt numFmtId="174" formatCode="#,##0.000"/>
    <numFmt numFmtId="175" formatCode="[$-415]General"/>
  </numFmts>
  <fonts count="10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0"/>
      <name val="Arial"/>
      <family val="2"/>
    </font>
    <font>
      <sz val="8"/>
      <color indexed="81"/>
      <name val="Tahoma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9"/>
      <name val="Calibri"/>
      <family val="2"/>
      <charset val="238"/>
    </font>
    <font>
      <b/>
      <sz val="5"/>
      <color theme="1"/>
      <name val="Czcionka tekstu podstawowego"/>
      <charset val="238"/>
    </font>
    <font>
      <b/>
      <sz val="5"/>
      <color theme="1"/>
      <name val="Calibri"/>
      <family val="2"/>
      <charset val="238"/>
      <scheme val="minor"/>
    </font>
    <font>
      <b/>
      <sz val="5"/>
      <name val="Calibri"/>
      <family val="2"/>
      <charset val="238"/>
      <scheme val="minor"/>
    </font>
    <font>
      <b/>
      <vertAlign val="superscript"/>
      <sz val="5"/>
      <color theme="1"/>
      <name val="Czcionka tekstu podstawowego"/>
      <charset val="238"/>
    </font>
    <font>
      <b/>
      <sz val="8"/>
      <color theme="1"/>
      <name val="Czcionka tekstu podstawowego"/>
      <charset val="238"/>
    </font>
    <font>
      <sz val="5"/>
      <color theme="1"/>
      <name val="Czcionka tekstu podstawowego"/>
      <charset val="238"/>
    </font>
    <font>
      <sz val="5"/>
      <color theme="1"/>
      <name val="Czcionka tekstu podstawowego"/>
      <family val="2"/>
      <charset val="238"/>
    </font>
    <font>
      <sz val="5"/>
      <name val="Calibri"/>
      <family val="2"/>
      <charset val="238"/>
      <scheme val="minor"/>
    </font>
    <font>
      <sz val="5"/>
      <color theme="1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10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b/>
      <sz val="6"/>
      <color theme="1"/>
      <name val="Czcionka tekstu podstawowego"/>
      <charset val="238"/>
    </font>
    <font>
      <sz val="6"/>
      <name val="Arial"/>
      <family val="2"/>
    </font>
    <font>
      <sz val="6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6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i/>
      <sz val="6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2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5"/>
      <color rgb="FFFF0000"/>
      <name val="Calibri"/>
      <family val="2"/>
      <charset val="238"/>
      <scheme val="minor"/>
    </font>
    <font>
      <b/>
      <sz val="5"/>
      <name val="Czcionka tekstu podstawowego"/>
      <charset val="238"/>
    </font>
    <font>
      <sz val="5"/>
      <name val="Czcionka tekstu podstawowego"/>
      <charset val="238"/>
    </font>
    <font>
      <sz val="6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5"/>
      <color theme="0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6"/>
      <color theme="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vertAlign val="subscript"/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vertAlign val="subscript"/>
      <sz val="10"/>
      <color theme="1"/>
      <name val="Times New Roman"/>
      <family val="1"/>
      <charset val="238"/>
    </font>
    <font>
      <sz val="11"/>
      <name val="Czcionka tekstu podstawowego"/>
      <family val="2"/>
      <charset val="238"/>
    </font>
    <font>
      <sz val="5"/>
      <color rgb="FF333333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6"/>
      <color theme="1"/>
      <name val="Czcionka tekstu podstawowego"/>
      <charset val="238"/>
    </font>
    <font>
      <sz val="9"/>
      <color theme="1"/>
      <name val="Czcionka tekstu podstawowego"/>
      <charset val="238"/>
    </font>
    <font>
      <b/>
      <sz val="8"/>
      <name val="Calibri"/>
      <family val="2"/>
      <charset val="238"/>
    </font>
    <font>
      <b/>
      <vertAlign val="subscript"/>
      <sz val="8"/>
      <name val="Calibri"/>
      <family val="2"/>
      <charset val="238"/>
    </font>
    <font>
      <b/>
      <vertAlign val="subscript"/>
      <sz val="8"/>
      <color theme="0" tint="-0.14999847407452621"/>
      <name val="Calibri"/>
      <family val="2"/>
      <charset val="238"/>
    </font>
    <font>
      <b/>
      <sz val="8"/>
      <color theme="0" tint="-0.14999847407452621"/>
      <name val="Calibri"/>
      <family val="2"/>
      <charset val="238"/>
    </font>
    <font>
      <sz val="8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9"/>
      <color indexed="81"/>
      <name val="Tahoma"/>
      <family val="2"/>
      <charset val="238"/>
    </font>
    <font>
      <sz val="8"/>
      <name val="Czcionka tekstu podstawowego"/>
      <family val="2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9"/>
      <name val="Calibri"/>
      <family val="2"/>
      <charset val="238"/>
      <scheme val="minor"/>
    </font>
    <font>
      <sz val="9"/>
      <name val="Czcionka tekstu podstawowego"/>
      <family val="2"/>
      <charset val="238"/>
    </font>
    <font>
      <b/>
      <sz val="12"/>
      <name val="Czcionka tekstu podstawowego"/>
      <charset val="238"/>
    </font>
    <font>
      <sz val="12"/>
      <name val="Czcionka tekstu podstawowego"/>
      <charset val="238"/>
    </font>
    <font>
      <b/>
      <sz val="7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zcionka tekstu podstawowego"/>
      <family val="2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9"/>
      <color theme="1"/>
      <name val="Czcionka tekstu podstawowego"/>
      <family val="2"/>
      <charset val="238"/>
    </font>
    <font>
      <sz val="8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7"/>
      <color theme="1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7"/>
      <name val="Arial"/>
      <family val="2"/>
      <charset val="238"/>
    </font>
    <font>
      <sz val="8"/>
      <color rgb="FF2F75B5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7"/>
      <color theme="1"/>
      <name val="Calibri"/>
      <family val="2"/>
      <charset val="238"/>
    </font>
    <font>
      <sz val="8"/>
      <color rgb="FF00B050"/>
      <name val="Calibri"/>
      <family val="2"/>
      <charset val="238"/>
      <scheme val="minor"/>
    </font>
    <font>
      <sz val="8"/>
      <color rgb="FF00B050"/>
      <name val="Calibri"/>
      <family val="2"/>
      <charset val="238"/>
    </font>
    <font>
      <i/>
      <sz val="9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9"/>
      <name val="Calibri"/>
      <family val="2"/>
      <charset val="238"/>
    </font>
    <font>
      <sz val="7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2F01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1E396"/>
        <bgColor indexed="64"/>
      </patternFill>
    </fill>
    <fill>
      <patternFill patternType="solid">
        <fgColor rgb="FF74E43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</fills>
  <borders count="9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9" fillId="0" borderId="0"/>
    <xf numFmtId="43" fontId="14" fillId="0" borderId="0" applyFont="0" applyFill="0" applyBorder="0" applyAlignment="0" applyProtection="0"/>
    <xf numFmtId="0" fontId="4" fillId="0" borderId="0"/>
    <xf numFmtId="0" fontId="3" fillId="0" borderId="0"/>
    <xf numFmtId="0" fontId="14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91" fillId="0" borderId="0"/>
    <xf numFmtId="175" fontId="9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939">
    <xf numFmtId="0" fontId="0" fillId="0" borderId="0" xfId="0"/>
    <xf numFmtId="0" fontId="8" fillId="0" borderId="0" xfId="0" applyFont="1" applyAlignment="1">
      <alignment horizontal="center" vertical="center"/>
    </xf>
    <xf numFmtId="4" fontId="0" fillId="0" borderId="6" xfId="0" applyNumberFormat="1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 vertical="center" wrapText="1"/>
    </xf>
    <xf numFmtId="2" fontId="0" fillId="0" borderId="4" xfId="0" applyNumberFormat="1" applyBorder="1"/>
    <xf numFmtId="2" fontId="0" fillId="0" borderId="6" xfId="0" applyNumberFormat="1" applyBorder="1"/>
    <xf numFmtId="0" fontId="0" fillId="0" borderId="9" xfId="0" applyBorder="1" applyAlignment="1">
      <alignment horizontal="center"/>
    </xf>
    <xf numFmtId="2" fontId="0" fillId="0" borderId="9" xfId="0" applyNumberFormat="1" applyBorder="1"/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" fontId="0" fillId="0" borderId="9" xfId="0" applyNumberFormat="1" applyBorder="1"/>
    <xf numFmtId="4" fontId="0" fillId="0" borderId="4" xfId="0" applyNumberFormat="1" applyBorder="1"/>
    <xf numFmtId="4" fontId="0" fillId="0" borderId="15" xfId="0" applyNumberFormat="1" applyBorder="1"/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0" xfId="0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 vertical="center"/>
      <protection locked="0"/>
    </xf>
    <xf numFmtId="166" fontId="0" fillId="0" borderId="4" xfId="0" applyNumberFormat="1" applyBorder="1" applyProtection="1">
      <protection locked="0"/>
    </xf>
    <xf numFmtId="0" fontId="11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 vertical="top"/>
    </xf>
    <xf numFmtId="0" fontId="0" fillId="0" borderId="0" xfId="0" applyAlignment="1" applyProtection="1">
      <alignment vertical="top"/>
      <protection locked="0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2" fontId="12" fillId="0" borderId="4" xfId="0" applyNumberFormat="1" applyFont="1" applyBorder="1" applyAlignment="1">
      <alignment horizontal="center"/>
    </xf>
    <xf numFmtId="10" fontId="0" fillId="0" borderId="4" xfId="1" applyNumberFormat="1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11" fillId="2" borderId="4" xfId="0" applyFont="1" applyFill="1" applyBorder="1" applyAlignment="1">
      <alignment horizontal="center" vertical="center" wrapText="1"/>
    </xf>
    <xf numFmtId="168" fontId="0" fillId="0" borderId="4" xfId="2" applyNumberFormat="1" applyFont="1" applyBorder="1" applyProtection="1">
      <protection locked="0"/>
    </xf>
    <xf numFmtId="165" fontId="0" fillId="0" borderId="4" xfId="2" applyNumberFormat="1" applyFont="1" applyBorder="1" applyProtection="1">
      <protection locked="0"/>
    </xf>
    <xf numFmtId="0" fontId="0" fillId="0" borderId="40" xfId="0" applyBorder="1"/>
    <xf numFmtId="0" fontId="0" fillId="0" borderId="4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0" xfId="3" applyAlignment="1">
      <alignment vertical="center" wrapText="1"/>
    </xf>
    <xf numFmtId="0" fontId="0" fillId="0" borderId="4" xfId="0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 applyProtection="1">
      <alignment vertical="top"/>
      <protection locked="0"/>
    </xf>
    <xf numFmtId="10" fontId="0" fillId="0" borderId="0" xfId="0" applyNumberFormat="1" applyProtection="1">
      <protection locked="0"/>
    </xf>
    <xf numFmtId="0" fontId="9" fillId="0" borderId="0" xfId="0" applyFont="1" applyAlignment="1">
      <alignment horizontal="center" wrapText="1"/>
    </xf>
    <xf numFmtId="165" fontId="0" fillId="0" borderId="4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43" fontId="0" fillId="0" borderId="4" xfId="2" applyFont="1" applyBorder="1" applyProtection="1">
      <protection locked="0"/>
    </xf>
    <xf numFmtId="0" fontId="8" fillId="0" borderId="0" xfId="0" applyFont="1" applyProtection="1">
      <protection locked="0"/>
    </xf>
    <xf numFmtId="0" fontId="0" fillId="0" borderId="4" xfId="0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2" fontId="23" fillId="0" borderId="4" xfId="0" applyNumberFormat="1" applyFont="1" applyBorder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49" fontId="25" fillId="0" borderId="0" xfId="0" applyNumberFormat="1" applyFont="1" applyProtection="1">
      <protection locked="0"/>
    </xf>
    <xf numFmtId="0" fontId="24" fillId="0" borderId="0" xfId="0" applyFont="1" applyAlignment="1" applyProtection="1">
      <alignment wrapText="1"/>
      <protection locked="0"/>
    </xf>
    <xf numFmtId="0" fontId="23" fillId="0" borderId="0" xfId="0" applyFont="1" applyAlignment="1" applyProtection="1">
      <alignment horizontal="center" wrapText="1"/>
      <protection locked="0"/>
    </xf>
    <xf numFmtId="2" fontId="23" fillId="0" borderId="0" xfId="0" applyNumberFormat="1" applyFont="1" applyAlignment="1" applyProtection="1">
      <alignment horizontal="center"/>
      <protection locked="0"/>
    </xf>
    <xf numFmtId="0" fontId="23" fillId="0" borderId="4" xfId="0" applyFont="1" applyBorder="1" applyAlignment="1" applyProtection="1">
      <alignment horizontal="center"/>
      <protection locked="0"/>
    </xf>
    <xf numFmtId="0" fontId="24" fillId="0" borderId="4" xfId="0" applyFont="1" applyBorder="1" applyAlignment="1">
      <alignment horizontal="right"/>
    </xf>
    <xf numFmtId="0" fontId="23" fillId="0" borderId="4" xfId="0" applyFont="1" applyBorder="1" applyAlignment="1" applyProtection="1">
      <alignment horizontal="center" vertical="center"/>
      <protection locked="0"/>
    </xf>
    <xf numFmtId="166" fontId="23" fillId="0" borderId="4" xfId="0" applyNumberFormat="1" applyFont="1" applyBorder="1" applyAlignment="1" applyProtection="1">
      <alignment horizontal="center"/>
      <protection locked="0"/>
    </xf>
    <xf numFmtId="0" fontId="23" fillId="0" borderId="4" xfId="0" applyFont="1" applyBorder="1" applyAlignment="1" applyProtection="1">
      <alignment horizontal="center" wrapText="1"/>
      <protection locked="0"/>
    </xf>
    <xf numFmtId="0" fontId="23" fillId="0" borderId="43" xfId="0" applyFont="1" applyBorder="1" applyAlignment="1" applyProtection="1">
      <alignment horizontal="center" wrapText="1"/>
      <protection locked="0"/>
    </xf>
    <xf numFmtId="0" fontId="29" fillId="0" borderId="0" xfId="0" applyFont="1" applyAlignment="1">
      <alignment horizontal="center"/>
    </xf>
    <xf numFmtId="0" fontId="29" fillId="0" borderId="35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/>
    </xf>
    <xf numFmtId="0" fontId="31" fillId="0" borderId="4" xfId="0" applyFont="1" applyBorder="1" applyProtection="1"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horizontal="center"/>
      <protection locked="0"/>
    </xf>
    <xf numFmtId="0" fontId="29" fillId="0" borderId="9" xfId="0" applyFont="1" applyBorder="1" applyAlignment="1" applyProtection="1">
      <alignment horizontal="center" vertical="center"/>
      <protection locked="0"/>
    </xf>
    <xf numFmtId="10" fontId="31" fillId="3" borderId="0" xfId="1" applyNumberFormat="1" applyFont="1" applyFill="1" applyProtection="1">
      <protection locked="0"/>
    </xf>
    <xf numFmtId="10" fontId="31" fillId="0" borderId="4" xfId="0" applyNumberFormat="1" applyFont="1" applyBorder="1" applyProtection="1">
      <protection locked="0"/>
    </xf>
    <xf numFmtId="0" fontId="30" fillId="0" borderId="4" xfId="0" applyFont="1" applyBorder="1" applyAlignment="1">
      <alignment horizontal="center" wrapText="1"/>
    </xf>
    <xf numFmtId="10" fontId="31" fillId="0" borderId="0" xfId="0" applyNumberFormat="1" applyFont="1" applyProtection="1"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left"/>
      <protection locked="0"/>
    </xf>
    <xf numFmtId="0" fontId="11" fillId="2" borderId="14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 applyProtection="1">
      <alignment horizontal="right"/>
      <protection locked="0"/>
    </xf>
    <xf numFmtId="2" fontId="0" fillId="0" borderId="4" xfId="0" applyNumberFormat="1" applyBorder="1" applyProtection="1">
      <protection locked="0"/>
    </xf>
    <xf numFmtId="167" fontId="0" fillId="0" borderId="4" xfId="2" applyNumberFormat="1" applyFont="1" applyBorder="1" applyProtection="1">
      <protection locked="0"/>
    </xf>
    <xf numFmtId="0" fontId="11" fillId="3" borderId="4" xfId="0" applyFont="1" applyFill="1" applyBorder="1" applyAlignment="1">
      <alignment horizontal="center"/>
    </xf>
    <xf numFmtId="0" fontId="32" fillId="0" borderId="0" xfId="0" applyFont="1" applyProtection="1">
      <protection locked="0"/>
    </xf>
    <xf numFmtId="0" fontId="33" fillId="0" borderId="0" xfId="4" applyFont="1"/>
    <xf numFmtId="0" fontId="34" fillId="3" borderId="4" xfId="4" applyFont="1" applyFill="1" applyBorder="1" applyAlignment="1">
      <alignment horizontal="center" vertical="center"/>
    </xf>
    <xf numFmtId="0" fontId="34" fillId="3" borderId="43" xfId="4" applyFont="1" applyFill="1" applyBorder="1" applyAlignment="1">
      <alignment horizontal="center" vertical="center"/>
    </xf>
    <xf numFmtId="0" fontId="33" fillId="0" borderId="42" xfId="4" applyFont="1" applyBorder="1"/>
    <xf numFmtId="0" fontId="33" fillId="0" borderId="4" xfId="4" applyFont="1" applyBorder="1"/>
    <xf numFmtId="0" fontId="33" fillId="0" borderId="4" xfId="4" applyFont="1" applyBorder="1" applyAlignment="1">
      <alignment horizontal="center" vertical="center"/>
    </xf>
    <xf numFmtId="0" fontId="33" fillId="0" borderId="43" xfId="4" applyFont="1" applyBorder="1"/>
    <xf numFmtId="0" fontId="33" fillId="0" borderId="42" xfId="4" applyFont="1" applyBorder="1" applyAlignment="1">
      <alignment horizontal="center" vertical="center"/>
    </xf>
    <xf numFmtId="0" fontId="33" fillId="0" borderId="44" xfId="4" applyFont="1" applyBorder="1" applyAlignment="1">
      <alignment horizontal="center" vertical="center"/>
    </xf>
    <xf numFmtId="0" fontId="33" fillId="0" borderId="45" xfId="4" applyFont="1" applyBorder="1" applyAlignment="1">
      <alignment horizontal="center" vertical="center"/>
    </xf>
    <xf numFmtId="0" fontId="33" fillId="0" borderId="45" xfId="4" applyFont="1" applyBorder="1"/>
    <xf numFmtId="0" fontId="33" fillId="0" borderId="46" xfId="4" applyFont="1" applyBorder="1"/>
    <xf numFmtId="3" fontId="33" fillId="0" borderId="0" xfId="4" applyNumberFormat="1" applyFont="1"/>
    <xf numFmtId="0" fontId="34" fillId="0" borderId="0" xfId="4" applyFont="1" applyAlignment="1">
      <alignment horizontal="center" vertical="center"/>
    </xf>
    <xf numFmtId="166" fontId="0" fillId="6" borderId="4" xfId="0" applyNumberFormat="1" applyFill="1" applyBorder="1" applyAlignment="1" applyProtection="1">
      <alignment horizontal="center"/>
      <protection locked="0"/>
    </xf>
    <xf numFmtId="0" fontId="29" fillId="0" borderId="14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2" fontId="31" fillId="0" borderId="4" xfId="0" applyNumberFormat="1" applyFont="1" applyBorder="1" applyProtection="1">
      <protection locked="0"/>
    </xf>
    <xf numFmtId="9" fontId="31" fillId="0" borderId="0" xfId="1" applyFont="1" applyAlignment="1" applyProtection="1">
      <alignment horizontal="center"/>
      <protection locked="0"/>
    </xf>
    <xf numFmtId="2" fontId="31" fillId="0" borderId="0" xfId="0" applyNumberFormat="1" applyFont="1" applyProtection="1">
      <protection locked="0"/>
    </xf>
    <xf numFmtId="0" fontId="39" fillId="0" borderId="42" xfId="4" applyFont="1" applyBorder="1"/>
    <xf numFmtId="0" fontId="39" fillId="0" borderId="4" xfId="4" applyFont="1" applyBorder="1"/>
    <xf numFmtId="2" fontId="40" fillId="0" borderId="4" xfId="4" applyNumberFormat="1" applyFont="1" applyBorder="1" applyAlignment="1">
      <alignment wrapText="1"/>
    </xf>
    <xf numFmtId="0" fontId="40" fillId="0" borderId="42" xfId="4" applyFont="1" applyBorder="1"/>
    <xf numFmtId="0" fontId="40" fillId="0" borderId="0" xfId="4" applyFont="1"/>
    <xf numFmtId="0" fontId="40" fillId="0" borderId="4" xfId="4" applyFont="1" applyBorder="1"/>
    <xf numFmtId="0" fontId="41" fillId="0" borderId="43" xfId="4" applyFont="1" applyBorder="1"/>
    <xf numFmtId="0" fontId="41" fillId="0" borderId="4" xfId="4" applyFont="1" applyBorder="1"/>
    <xf numFmtId="0" fontId="40" fillId="0" borderId="43" xfId="4" applyFont="1" applyBorder="1"/>
    <xf numFmtId="0" fontId="39" fillId="0" borderId="42" xfId="4" applyFont="1" applyBorder="1" applyAlignment="1">
      <alignment horizontal="left" vertical="top"/>
    </xf>
    <xf numFmtId="0" fontId="39" fillId="0" borderId="4" xfId="4" applyFont="1" applyBorder="1" applyAlignment="1">
      <alignment horizontal="left" vertical="top"/>
    </xf>
    <xf numFmtId="0" fontId="39" fillId="0" borderId="43" xfId="4" applyFont="1" applyBorder="1" applyAlignment="1">
      <alignment horizontal="left" vertical="top"/>
    </xf>
    <xf numFmtId="3" fontId="40" fillId="0" borderId="4" xfId="4" applyNumberFormat="1" applyFont="1" applyBorder="1"/>
    <xf numFmtId="3" fontId="41" fillId="0" borderId="43" xfId="4" applyNumberFormat="1" applyFont="1" applyBorder="1"/>
    <xf numFmtId="0" fontId="39" fillId="0" borderId="42" xfId="4" applyFont="1" applyBorder="1" applyAlignment="1">
      <alignment horizontal="left" vertical="top" wrapText="1"/>
    </xf>
    <xf numFmtId="9" fontId="38" fillId="0" borderId="4" xfId="5" applyFont="1" applyBorder="1"/>
    <xf numFmtId="9" fontId="38" fillId="0" borderId="43" xfId="5" applyFont="1" applyBorder="1"/>
    <xf numFmtId="9" fontId="40" fillId="0" borderId="4" xfId="4" applyNumberFormat="1" applyFont="1" applyBorder="1"/>
    <xf numFmtId="167" fontId="40" fillId="0" borderId="4" xfId="4" applyNumberFormat="1" applyFont="1" applyBorder="1"/>
    <xf numFmtId="0" fontId="40" fillId="0" borderId="47" xfId="4" applyFont="1" applyBorder="1"/>
    <xf numFmtId="0" fontId="39" fillId="0" borderId="51" xfId="4" applyFont="1" applyBorder="1" applyAlignment="1">
      <alignment vertical="top"/>
    </xf>
    <xf numFmtId="0" fontId="39" fillId="0" borderId="39" xfId="4" applyFont="1" applyBorder="1" applyAlignment="1">
      <alignment vertical="top"/>
    </xf>
    <xf numFmtId="3" fontId="40" fillId="0" borderId="43" xfId="4" applyNumberFormat="1" applyFont="1" applyBorder="1"/>
    <xf numFmtId="0" fontId="39" fillId="0" borderId="59" xfId="4" applyFont="1" applyBorder="1" applyAlignment="1">
      <alignment vertical="top"/>
    </xf>
    <xf numFmtId="0" fontId="39" fillId="0" borderId="58" xfId="4" applyFont="1" applyBorder="1" applyAlignment="1">
      <alignment vertical="top"/>
    </xf>
    <xf numFmtId="3" fontId="39" fillId="0" borderId="57" xfId="4" applyNumberFormat="1" applyFont="1" applyBorder="1" applyAlignment="1">
      <alignment vertical="top"/>
    </xf>
    <xf numFmtId="0" fontId="40" fillId="0" borderId="32" xfId="4" applyFont="1" applyBorder="1"/>
    <xf numFmtId="0" fontId="40" fillId="0" borderId="62" xfId="4" applyFont="1" applyBorder="1"/>
    <xf numFmtId="3" fontId="40" fillId="4" borderId="33" xfId="4" applyNumberFormat="1" applyFont="1" applyFill="1" applyBorder="1"/>
    <xf numFmtId="3" fontId="41" fillId="4" borderId="34" xfId="4" applyNumberFormat="1" applyFont="1" applyFill="1" applyBorder="1"/>
    <xf numFmtId="0" fontId="40" fillId="0" borderId="35" xfId="4" applyFont="1" applyBorder="1"/>
    <xf numFmtId="3" fontId="40" fillId="4" borderId="4" xfId="4" applyNumberFormat="1" applyFont="1" applyFill="1" applyBorder="1"/>
    <xf numFmtId="3" fontId="41" fillId="4" borderId="43" xfId="4" applyNumberFormat="1" applyFont="1" applyFill="1" applyBorder="1"/>
    <xf numFmtId="0" fontId="40" fillId="0" borderId="44" xfId="4" applyFont="1" applyBorder="1"/>
    <xf numFmtId="0" fontId="40" fillId="0" borderId="63" xfId="4" applyFont="1" applyBorder="1"/>
    <xf numFmtId="3" fontId="40" fillId="4" borderId="45" xfId="4" applyNumberFormat="1" applyFont="1" applyFill="1" applyBorder="1"/>
    <xf numFmtId="3" fontId="41" fillId="4" borderId="46" xfId="4" applyNumberFormat="1" applyFont="1" applyFill="1" applyBorder="1"/>
    <xf numFmtId="0" fontId="39" fillId="0" borderId="64" xfId="4" applyFont="1" applyBorder="1"/>
    <xf numFmtId="0" fontId="39" fillId="0" borderId="0" xfId="4" applyFont="1"/>
    <xf numFmtId="3" fontId="40" fillId="0" borderId="33" xfId="4" applyNumberFormat="1" applyFont="1" applyBorder="1"/>
    <xf numFmtId="3" fontId="41" fillId="0" borderId="34" xfId="4" applyNumberFormat="1" applyFont="1" applyBorder="1"/>
    <xf numFmtId="3" fontId="40" fillId="0" borderId="45" xfId="4" applyNumberFormat="1" applyFont="1" applyBorder="1"/>
    <xf numFmtId="3" fontId="41" fillId="0" borderId="46" xfId="4" applyNumberFormat="1" applyFont="1" applyBorder="1"/>
    <xf numFmtId="0" fontId="39" fillId="0" borderId="36" xfId="4" applyFont="1" applyBorder="1"/>
    <xf numFmtId="169" fontId="40" fillId="0" borderId="33" xfId="4" applyNumberFormat="1" applyFont="1" applyBorder="1"/>
    <xf numFmtId="169" fontId="41" fillId="0" borderId="34" xfId="4" applyNumberFormat="1" applyFont="1" applyBorder="1"/>
    <xf numFmtId="169" fontId="40" fillId="0" borderId="4" xfId="4" applyNumberFormat="1" applyFont="1" applyBorder="1"/>
    <xf numFmtId="169" fontId="41" fillId="0" borderId="43" xfId="4" applyNumberFormat="1" applyFont="1" applyBorder="1"/>
    <xf numFmtId="169" fontId="40" fillId="0" borderId="45" xfId="4" applyNumberFormat="1" applyFont="1" applyBorder="1"/>
    <xf numFmtId="169" fontId="41" fillId="0" borderId="46" xfId="4" applyNumberFormat="1" applyFont="1" applyBorder="1"/>
    <xf numFmtId="0" fontId="29" fillId="0" borderId="30" xfId="0" applyFont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4" fillId="0" borderId="4" xfId="0" applyFont="1" applyBorder="1"/>
    <xf numFmtId="2" fontId="23" fillId="0" borderId="4" xfId="0" applyNumberFormat="1" applyFont="1" applyBorder="1" applyAlignment="1" applyProtection="1">
      <alignment horizontal="center" vertical="center"/>
      <protection locked="0"/>
    </xf>
    <xf numFmtId="167" fontId="31" fillId="0" borderId="4" xfId="0" applyNumberFormat="1" applyFont="1" applyBorder="1" applyProtection="1">
      <protection locked="0"/>
    </xf>
    <xf numFmtId="1" fontId="31" fillId="0" borderId="4" xfId="0" applyNumberFormat="1" applyFont="1" applyBorder="1" applyProtection="1">
      <protection locked="0"/>
    </xf>
    <xf numFmtId="170" fontId="39" fillId="0" borderId="71" xfId="4" applyNumberFormat="1" applyFont="1" applyBorder="1" applyAlignment="1">
      <alignment vertical="top"/>
    </xf>
    <xf numFmtId="170" fontId="40" fillId="0" borderId="72" xfId="4" applyNumberFormat="1" applyFont="1" applyBorder="1"/>
    <xf numFmtId="170" fontId="40" fillId="0" borderId="73" xfId="4" applyNumberFormat="1" applyFont="1" applyBorder="1"/>
    <xf numFmtId="0" fontId="33" fillId="0" borderId="74" xfId="4" applyFont="1" applyBorder="1"/>
    <xf numFmtId="2" fontId="34" fillId="4" borderId="75" xfId="4" applyNumberFormat="1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/>
    </xf>
    <xf numFmtId="0" fontId="22" fillId="3" borderId="4" xfId="0" applyFont="1" applyFill="1" applyBorder="1" applyAlignment="1">
      <alignment horizontal="center" vertical="center"/>
    </xf>
    <xf numFmtId="2" fontId="23" fillId="0" borderId="9" xfId="0" applyNumberFormat="1" applyFont="1" applyBorder="1" applyAlignment="1" applyProtection="1">
      <alignment horizontal="center" vertical="center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9" fillId="0" borderId="16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3" borderId="32" xfId="0" applyFont="1" applyFill="1" applyBorder="1" applyAlignment="1">
      <alignment horizontal="center"/>
    </xf>
    <xf numFmtId="0" fontId="29" fillId="3" borderId="33" xfId="0" applyFont="1" applyFill="1" applyBorder="1" applyAlignment="1">
      <alignment horizontal="center"/>
    </xf>
    <xf numFmtId="0" fontId="30" fillId="3" borderId="33" xfId="0" applyFont="1" applyFill="1" applyBorder="1" applyAlignment="1">
      <alignment horizontal="center" wrapText="1"/>
    </xf>
    <xf numFmtId="0" fontId="29" fillId="3" borderId="34" xfId="0" applyFont="1" applyFill="1" applyBorder="1" applyAlignment="1">
      <alignment horizontal="center" vertical="center" wrapText="1"/>
    </xf>
    <xf numFmtId="0" fontId="29" fillId="3" borderId="35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9" fillId="3" borderId="14" xfId="0" applyFont="1" applyFill="1" applyBorder="1" applyAlignment="1">
      <alignment horizontal="center" vertical="center"/>
    </xf>
    <xf numFmtId="0" fontId="29" fillId="3" borderId="31" xfId="0" applyFont="1" applyFill="1" applyBorder="1" applyAlignment="1">
      <alignment horizontal="center" vertical="center"/>
    </xf>
    <xf numFmtId="0" fontId="29" fillId="3" borderId="32" xfId="0" applyFont="1" applyFill="1" applyBorder="1" applyAlignment="1">
      <alignment horizontal="center" vertical="center"/>
    </xf>
    <xf numFmtId="0" fontId="29" fillId="3" borderId="33" xfId="0" applyFont="1" applyFill="1" applyBorder="1" applyAlignment="1">
      <alignment horizontal="center" vertical="center"/>
    </xf>
    <xf numFmtId="0" fontId="29" fillId="3" borderId="34" xfId="0" applyFont="1" applyFill="1" applyBorder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44" fillId="3" borderId="4" xfId="0" applyFont="1" applyFill="1" applyBorder="1" applyAlignment="1">
      <alignment horizontal="center"/>
    </xf>
    <xf numFmtId="0" fontId="29" fillId="3" borderId="36" xfId="0" applyFont="1" applyFill="1" applyBorder="1" applyAlignment="1">
      <alignment horizontal="center"/>
    </xf>
    <xf numFmtId="0" fontId="29" fillId="3" borderId="0" xfId="0" applyFont="1" applyFill="1" applyAlignment="1">
      <alignment horizontal="center"/>
    </xf>
    <xf numFmtId="0" fontId="29" fillId="3" borderId="37" xfId="0" applyFont="1" applyFill="1" applyBorder="1" applyAlignment="1">
      <alignment horizontal="center"/>
    </xf>
    <xf numFmtId="49" fontId="18" fillId="3" borderId="4" xfId="0" applyNumberFormat="1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 wrapText="1"/>
    </xf>
    <xf numFmtId="0" fontId="31" fillId="3" borderId="36" xfId="0" applyFont="1" applyFill="1" applyBorder="1" applyProtection="1">
      <protection locked="0"/>
    </xf>
    <xf numFmtId="0" fontId="31" fillId="3" borderId="0" xfId="0" applyFont="1" applyFill="1" applyProtection="1">
      <protection locked="0"/>
    </xf>
    <xf numFmtId="0" fontId="31" fillId="3" borderId="37" xfId="0" applyFont="1" applyFill="1" applyBorder="1" applyProtection="1">
      <protection locked="0"/>
    </xf>
    <xf numFmtId="0" fontId="31" fillId="3" borderId="0" xfId="0" applyFont="1" applyFill="1" applyAlignment="1" applyProtection="1">
      <alignment horizontal="center"/>
      <protection locked="0"/>
    </xf>
    <xf numFmtId="0" fontId="31" fillId="3" borderId="36" xfId="0" applyFont="1" applyFill="1" applyBorder="1" applyAlignment="1" applyProtection="1">
      <alignment horizontal="center"/>
      <protection locked="0"/>
    </xf>
    <xf numFmtId="0" fontId="31" fillId="3" borderId="37" xfId="0" applyFont="1" applyFill="1" applyBorder="1" applyAlignment="1" applyProtection="1">
      <alignment horizontal="center"/>
      <protection locked="0"/>
    </xf>
    <xf numFmtId="0" fontId="24" fillId="0" borderId="4" xfId="0" applyFont="1" applyBorder="1" applyAlignment="1">
      <alignment horizontal="center"/>
    </xf>
    <xf numFmtId="0" fontId="24" fillId="0" borderId="4" xfId="0" applyFont="1" applyBorder="1" applyAlignment="1">
      <alignment wrapText="1"/>
    </xf>
    <xf numFmtId="0" fontId="45" fillId="0" borderId="4" xfId="0" applyFont="1" applyBorder="1" applyAlignment="1" applyProtection="1">
      <alignment horizontal="left" vertical="center"/>
      <protection locked="0"/>
    </xf>
    <xf numFmtId="2" fontId="17" fillId="0" borderId="4" xfId="0" applyNumberFormat="1" applyFont="1" applyBorder="1" applyAlignment="1">
      <alignment horizontal="center" vertical="center"/>
    </xf>
    <xf numFmtId="166" fontId="23" fillId="0" borderId="4" xfId="0" applyNumberFormat="1" applyFont="1" applyBorder="1" applyAlignment="1" applyProtection="1">
      <alignment horizontal="center" vertical="center"/>
      <protection locked="0"/>
    </xf>
    <xf numFmtId="1" fontId="31" fillId="0" borderId="36" xfId="0" applyNumberFormat="1" applyFont="1" applyBorder="1" applyProtection="1">
      <protection locked="0"/>
    </xf>
    <xf numFmtId="1" fontId="31" fillId="0" borderId="0" xfId="0" applyNumberFormat="1" applyFont="1" applyProtection="1">
      <protection locked="0"/>
    </xf>
    <xf numFmtId="1" fontId="31" fillId="0" borderId="37" xfId="0" applyNumberFormat="1" applyFont="1" applyBorder="1" applyProtection="1">
      <protection locked="0"/>
    </xf>
    <xf numFmtId="1" fontId="31" fillId="0" borderId="0" xfId="0" applyNumberFormat="1" applyFont="1" applyAlignment="1" applyProtection="1">
      <alignment horizontal="center"/>
      <protection locked="0"/>
    </xf>
    <xf numFmtId="1" fontId="31" fillId="0" borderId="36" xfId="0" applyNumberFormat="1" applyFont="1" applyBorder="1" applyAlignment="1" applyProtection="1">
      <alignment horizontal="center"/>
      <protection locked="0"/>
    </xf>
    <xf numFmtId="1" fontId="31" fillId="0" borderId="37" xfId="0" applyNumberFormat="1" applyFont="1" applyBorder="1" applyAlignment="1" applyProtection="1">
      <alignment horizontal="center"/>
      <protection locked="0"/>
    </xf>
    <xf numFmtId="1" fontId="23" fillId="3" borderId="0" xfId="0" applyNumberFormat="1" applyFont="1" applyFill="1" applyProtection="1">
      <protection locked="0"/>
    </xf>
    <xf numFmtId="1" fontId="23" fillId="0" borderId="0" xfId="0" applyNumberFormat="1" applyFont="1" applyProtection="1">
      <protection locked="0"/>
    </xf>
    <xf numFmtId="0" fontId="31" fillId="3" borderId="4" xfId="0" applyFont="1" applyFill="1" applyBorder="1" applyProtection="1">
      <protection locked="0"/>
    </xf>
    <xf numFmtId="165" fontId="31" fillId="3" borderId="4" xfId="2" applyNumberFormat="1" applyFont="1" applyFill="1" applyBorder="1" applyProtection="1">
      <protection locked="0"/>
    </xf>
    <xf numFmtId="43" fontId="23" fillId="0" borderId="0" xfId="2" applyFont="1" applyAlignment="1" applyProtection="1">
      <alignment horizontal="center"/>
      <protection locked="0"/>
    </xf>
    <xf numFmtId="1" fontId="31" fillId="3" borderId="4" xfId="0" applyNumberFormat="1" applyFont="1" applyFill="1" applyBorder="1" applyProtection="1">
      <protection locked="0"/>
    </xf>
    <xf numFmtId="2" fontId="23" fillId="0" borderId="15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/>
    <xf numFmtId="0" fontId="31" fillId="0" borderId="4" xfId="0" applyFont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>
      <alignment horizontal="center"/>
    </xf>
    <xf numFmtId="0" fontId="23" fillId="0" borderId="9" xfId="0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0" fillId="0" borderId="33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49" fontId="18" fillId="3" borderId="45" xfId="0" applyNumberFormat="1" applyFont="1" applyFill="1" applyBorder="1" applyAlignment="1">
      <alignment horizontal="center" vertical="center"/>
    </xf>
    <xf numFmtId="0" fontId="19" fillId="3" borderId="45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31" fillId="0" borderId="36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0" fontId="24" fillId="0" borderId="9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2" fontId="17" fillId="0" borderId="0" xfId="0" applyNumberFormat="1" applyFont="1" applyAlignment="1" applyProtection="1">
      <alignment horizontal="center" vertical="center"/>
      <protection locked="0"/>
    </xf>
    <xf numFmtId="2" fontId="23" fillId="0" borderId="0" xfId="0" applyNumberFormat="1" applyFont="1" applyAlignment="1" applyProtection="1">
      <alignment horizontal="center" vertical="center"/>
      <protection locked="0"/>
    </xf>
    <xf numFmtId="49" fontId="25" fillId="0" borderId="9" xfId="0" applyNumberFormat="1" applyFont="1" applyBorder="1" applyAlignment="1" applyProtection="1">
      <alignment horizontal="center" vertical="center"/>
      <protection locked="0"/>
    </xf>
    <xf numFmtId="49" fontId="25" fillId="0" borderId="4" xfId="0" applyNumberFormat="1" applyFont="1" applyBorder="1" applyAlignment="1" applyProtection="1">
      <alignment horizontal="center" vertical="center"/>
      <protection locked="0"/>
    </xf>
    <xf numFmtId="0" fontId="17" fillId="0" borderId="43" xfId="0" applyFont="1" applyBorder="1" applyAlignment="1">
      <alignment horizontal="center"/>
    </xf>
    <xf numFmtId="0" fontId="23" fillId="0" borderId="46" xfId="0" applyFont="1" applyBorder="1" applyAlignment="1" applyProtection="1">
      <alignment horizontal="center"/>
      <protection locked="0"/>
    </xf>
    <xf numFmtId="2" fontId="47" fillId="0" borderId="0" xfId="0" applyNumberFormat="1" applyFont="1" applyAlignment="1" applyProtection="1">
      <alignment horizontal="center"/>
      <protection locked="0"/>
    </xf>
    <xf numFmtId="2" fontId="34" fillId="0" borderId="0" xfId="4" applyNumberFormat="1" applyFont="1" applyAlignment="1">
      <alignment horizontal="center" vertical="center" wrapText="1"/>
    </xf>
    <xf numFmtId="170" fontId="39" fillId="0" borderId="0" xfId="4" applyNumberFormat="1" applyFont="1" applyAlignment="1">
      <alignment vertical="top"/>
    </xf>
    <xf numFmtId="170" fontId="40" fillId="0" borderId="0" xfId="4" applyNumberFormat="1" applyFont="1"/>
    <xf numFmtId="43" fontId="49" fillId="0" borderId="0" xfId="4" applyNumberFormat="1" applyFont="1"/>
    <xf numFmtId="0" fontId="40" fillId="0" borderId="0" xfId="0" applyFont="1"/>
    <xf numFmtId="0" fontId="50" fillId="0" borderId="32" xfId="0" applyFont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0" fontId="50" fillId="0" borderId="33" xfId="0" applyFont="1" applyBorder="1" applyAlignment="1">
      <alignment horizontal="center" vertical="center" wrapText="1"/>
    </xf>
    <xf numFmtId="0" fontId="51" fillId="0" borderId="42" xfId="0" applyFont="1" applyBorder="1" applyAlignment="1">
      <alignment horizontal="right"/>
    </xf>
    <xf numFmtId="0" fontId="51" fillId="0" borderId="4" xfId="0" applyFont="1" applyBorder="1"/>
    <xf numFmtId="0" fontId="40" fillId="0" borderId="37" xfId="0" applyFont="1" applyBorder="1"/>
    <xf numFmtId="0" fontId="40" fillId="0" borderId="42" xfId="0" applyFont="1" applyBorder="1" applyProtection="1">
      <protection locked="0"/>
    </xf>
    <xf numFmtId="0" fontId="40" fillId="0" borderId="14" xfId="0" applyFont="1" applyBorder="1" applyAlignment="1">
      <alignment horizontal="center"/>
    </xf>
    <xf numFmtId="0" fontId="40" fillId="0" borderId="4" xfId="0" applyFont="1" applyBorder="1" applyAlignment="1">
      <alignment horizontal="center"/>
    </xf>
    <xf numFmtId="0" fontId="40" fillId="0" borderId="0" xfId="0" applyFont="1" applyProtection="1">
      <protection locked="0"/>
    </xf>
    <xf numFmtId="0" fontId="51" fillId="0" borderId="42" xfId="0" applyFont="1" applyBorder="1" applyAlignment="1">
      <alignment horizontal="center" wrapText="1"/>
    </xf>
    <xf numFmtId="9" fontId="51" fillId="0" borderId="4" xfId="0" applyNumberFormat="1" applyFont="1" applyBorder="1" applyAlignment="1">
      <alignment horizontal="center" wrapText="1"/>
    </xf>
    <xf numFmtId="0" fontId="51" fillId="0" borderId="4" xfId="0" applyFont="1" applyBorder="1" applyAlignment="1">
      <alignment horizontal="center" wrapText="1"/>
    </xf>
    <xf numFmtId="1" fontId="51" fillId="0" borderId="43" xfId="0" applyNumberFormat="1" applyFont="1" applyBorder="1" applyAlignment="1">
      <alignment horizontal="center" wrapText="1"/>
    </xf>
    <xf numFmtId="0" fontId="40" fillId="0" borderId="43" xfId="0" applyFont="1" applyBorder="1"/>
    <xf numFmtId="165" fontId="51" fillId="0" borderId="43" xfId="0" applyNumberFormat="1" applyFont="1" applyBorder="1"/>
    <xf numFmtId="0" fontId="40" fillId="0" borderId="4" xfId="0" applyFont="1" applyBorder="1"/>
    <xf numFmtId="0" fontId="41" fillId="0" borderId="0" xfId="0" applyFont="1"/>
    <xf numFmtId="0" fontId="50" fillId="0" borderId="53" xfId="0" applyFont="1" applyBorder="1" applyAlignment="1">
      <alignment horizontal="center" vertical="center" wrapText="1"/>
    </xf>
    <xf numFmtId="0" fontId="51" fillId="0" borderId="44" xfId="0" applyFont="1" applyBorder="1" applyAlignment="1">
      <alignment horizontal="center" wrapText="1"/>
    </xf>
    <xf numFmtId="9" fontId="51" fillId="0" borderId="45" xfId="0" applyNumberFormat="1" applyFont="1" applyBorder="1" applyAlignment="1">
      <alignment horizontal="center" wrapText="1"/>
    </xf>
    <xf numFmtId="0" fontId="51" fillId="0" borderId="45" xfId="0" applyFont="1" applyBorder="1" applyAlignment="1">
      <alignment horizontal="center" wrapText="1"/>
    </xf>
    <xf numFmtId="0" fontId="51" fillId="0" borderId="46" xfId="0" applyFont="1" applyBorder="1" applyAlignment="1">
      <alignment horizontal="center" wrapText="1"/>
    </xf>
    <xf numFmtId="9" fontId="40" fillId="0" borderId="35" xfId="0" applyNumberFormat="1" applyFont="1" applyBorder="1"/>
    <xf numFmtId="0" fontId="40" fillId="0" borderId="44" xfId="0" applyFont="1" applyBorder="1" applyProtection="1">
      <protection locked="0"/>
    </xf>
    <xf numFmtId="0" fontId="40" fillId="0" borderId="66" xfId="0" applyFont="1" applyBorder="1" applyAlignment="1">
      <alignment horizontal="center"/>
    </xf>
    <xf numFmtId="0" fontId="50" fillId="0" borderId="0" xfId="0" applyFont="1" applyAlignment="1">
      <alignment horizontal="center" vertical="center" wrapText="1"/>
    </xf>
    <xf numFmtId="0" fontId="50" fillId="0" borderId="60" xfId="0" applyFont="1" applyBorder="1" applyAlignment="1">
      <alignment vertical="center" wrapText="1"/>
    </xf>
    <xf numFmtId="0" fontId="41" fillId="0" borderId="34" xfId="0" applyFont="1" applyBorder="1" applyAlignment="1">
      <alignment horizontal="center" vertical="center"/>
    </xf>
    <xf numFmtId="0" fontId="51" fillId="0" borderId="42" xfId="0" applyFont="1" applyBorder="1"/>
    <xf numFmtId="0" fontId="51" fillId="0" borderId="4" xfId="0" applyFont="1" applyBorder="1" applyAlignment="1">
      <alignment horizontal="right"/>
    </xf>
    <xf numFmtId="1" fontId="40" fillId="0" borderId="43" xfId="0" applyNumberFormat="1" applyFont="1" applyBorder="1"/>
    <xf numFmtId="9" fontId="40" fillId="0" borderId="14" xfId="0" applyNumberFormat="1" applyFont="1" applyBorder="1"/>
    <xf numFmtId="9" fontId="40" fillId="0" borderId="43" xfId="0" applyNumberFormat="1" applyFont="1" applyBorder="1"/>
    <xf numFmtId="0" fontId="41" fillId="0" borderId="0" xfId="0" applyFont="1" applyAlignment="1">
      <alignment horizontal="right"/>
    </xf>
    <xf numFmtId="0" fontId="40" fillId="0" borderId="0" xfId="0" applyFont="1" applyAlignment="1">
      <alignment horizontal="right"/>
    </xf>
    <xf numFmtId="9" fontId="40" fillId="0" borderId="66" xfId="0" applyNumberFormat="1" applyFont="1" applyBorder="1"/>
    <xf numFmtId="9" fontId="40" fillId="0" borderId="46" xfId="0" applyNumberFormat="1" applyFont="1" applyBorder="1"/>
    <xf numFmtId="0" fontId="51" fillId="0" borderId="44" xfId="0" applyFont="1" applyBorder="1"/>
    <xf numFmtId="0" fontId="51" fillId="0" borderId="45" xfId="0" applyFont="1" applyBorder="1" applyAlignment="1">
      <alignment horizontal="right"/>
    </xf>
    <xf numFmtId="2" fontId="40" fillId="0" borderId="46" xfId="0" applyNumberFormat="1" applyFont="1" applyBorder="1"/>
    <xf numFmtId="0" fontId="40" fillId="0" borderId="0" xfId="0" applyFont="1" applyAlignment="1" applyProtection="1">
      <alignment horizontal="center" vertical="center"/>
      <protection locked="0"/>
    </xf>
    <xf numFmtId="0" fontId="40" fillId="0" borderId="52" xfId="0" applyFont="1" applyBorder="1"/>
    <xf numFmtId="0" fontId="40" fillId="0" borderId="9" xfId="0" applyFont="1" applyBorder="1"/>
    <xf numFmtId="0" fontId="52" fillId="0" borderId="9" xfId="0" applyFont="1" applyBorder="1" applyAlignment="1">
      <alignment vertical="center" wrapText="1"/>
    </xf>
    <xf numFmtId="0" fontId="50" fillId="0" borderId="9" xfId="0" applyFont="1" applyBorder="1" applyAlignment="1">
      <alignment horizontal="center" vertical="center" wrapText="1"/>
    </xf>
    <xf numFmtId="0" fontId="50" fillId="0" borderId="67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 wrapText="1"/>
    </xf>
    <xf numFmtId="0" fontId="40" fillId="0" borderId="42" xfId="0" applyFont="1" applyBorder="1"/>
    <xf numFmtId="0" fontId="52" fillId="0" borderId="4" xfId="0" applyFont="1" applyBorder="1" applyAlignment="1">
      <alignment horizontal="center" vertical="center" wrapText="1"/>
    </xf>
    <xf numFmtId="0" fontId="52" fillId="0" borderId="43" xfId="0" applyFont="1" applyBorder="1" applyAlignment="1">
      <alignment horizontal="center" vertical="center" wrapText="1"/>
    </xf>
    <xf numFmtId="0" fontId="41" fillId="0" borderId="0" xfId="0" applyFont="1" applyProtection="1">
      <protection locked="0"/>
    </xf>
    <xf numFmtId="0" fontId="40" fillId="0" borderId="44" xfId="0" applyFont="1" applyBorder="1"/>
    <xf numFmtId="0" fontId="40" fillId="0" borderId="45" xfId="0" applyFont="1" applyBorder="1"/>
    <xf numFmtId="0" fontId="52" fillId="0" borderId="45" xfId="0" applyFont="1" applyBorder="1" applyAlignment="1">
      <alignment horizontal="center" vertical="center" wrapText="1"/>
    </xf>
    <xf numFmtId="0" fontId="40" fillId="0" borderId="46" xfId="0" applyFont="1" applyBorder="1"/>
    <xf numFmtId="0" fontId="40" fillId="0" borderId="35" xfId="0" applyFont="1" applyBorder="1" applyAlignment="1">
      <alignment horizontal="center"/>
    </xf>
    <xf numFmtId="0" fontId="41" fillId="0" borderId="0" xfId="0" applyFont="1" applyAlignment="1">
      <alignment vertical="top"/>
    </xf>
    <xf numFmtId="0" fontId="40" fillId="0" borderId="15" xfId="0" applyFont="1" applyBorder="1"/>
    <xf numFmtId="0" fontId="40" fillId="0" borderId="15" xfId="0" applyFont="1" applyBorder="1" applyAlignment="1">
      <alignment wrapText="1"/>
    </xf>
    <xf numFmtId="0" fontId="17" fillId="3" borderId="61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49" fontId="18" fillId="3" borderId="15" xfId="0" applyNumberFormat="1" applyFont="1" applyFill="1" applyBorder="1" applyAlignment="1">
      <alignment horizontal="center" vertical="center"/>
    </xf>
    <xf numFmtId="0" fontId="17" fillId="3" borderId="49" xfId="0" applyFont="1" applyFill="1" applyBorder="1" applyAlignment="1">
      <alignment horizontal="center" vertical="center"/>
    </xf>
    <xf numFmtId="0" fontId="17" fillId="3" borderId="56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53" fillId="7" borderId="4" xfId="0" applyFont="1" applyFill="1" applyBorder="1" applyAlignment="1">
      <alignment horizontal="center" vertical="center" wrapText="1"/>
    </xf>
    <xf numFmtId="0" fontId="40" fillId="0" borderId="84" xfId="0" applyFont="1" applyBorder="1" applyAlignment="1">
      <alignment horizontal="center" vertical="center" wrapText="1"/>
    </xf>
    <xf numFmtId="0" fontId="40" fillId="0" borderId="85" xfId="0" applyFont="1" applyBorder="1" applyAlignment="1">
      <alignment vertical="center" wrapText="1"/>
    </xf>
    <xf numFmtId="0" fontId="28" fillId="0" borderId="0" xfId="0" applyFont="1"/>
    <xf numFmtId="0" fontId="55" fillId="0" borderId="84" xfId="0" applyFont="1" applyBorder="1" applyAlignment="1">
      <alignment horizontal="center" vertical="center" wrapText="1"/>
    </xf>
    <xf numFmtId="0" fontId="53" fillId="5" borderId="4" xfId="0" applyFont="1" applyFill="1" applyBorder="1" applyAlignment="1">
      <alignment horizontal="center" vertical="center" wrapText="1"/>
    </xf>
    <xf numFmtId="0" fontId="55" fillId="0" borderId="84" xfId="0" applyFont="1" applyBorder="1" applyAlignment="1">
      <alignment vertical="center" wrapText="1"/>
    </xf>
    <xf numFmtId="0" fontId="55" fillId="0" borderId="85" xfId="0" applyFont="1" applyBorder="1" applyAlignment="1">
      <alignment vertical="center" wrapText="1"/>
    </xf>
    <xf numFmtId="2" fontId="23" fillId="5" borderId="9" xfId="0" applyNumberFormat="1" applyFont="1" applyFill="1" applyBorder="1" applyAlignment="1" applyProtection="1">
      <alignment horizontal="center" vertical="center"/>
      <protection locked="0"/>
    </xf>
    <xf numFmtId="2" fontId="23" fillId="8" borderId="9" xfId="0" applyNumberFormat="1" applyFont="1" applyFill="1" applyBorder="1" applyAlignment="1" applyProtection="1">
      <alignment horizontal="center" vertical="center"/>
      <protection locked="0"/>
    </xf>
    <xf numFmtId="9" fontId="41" fillId="0" borderId="4" xfId="5" applyFont="1" applyBorder="1"/>
    <xf numFmtId="0" fontId="57" fillId="0" borderId="0" xfId="0" applyFont="1"/>
    <xf numFmtId="43" fontId="57" fillId="0" borderId="0" xfId="2" applyFont="1"/>
    <xf numFmtId="0" fontId="36" fillId="0" borderId="0" xfId="0" applyFont="1"/>
    <xf numFmtId="0" fontId="23" fillId="0" borderId="15" xfId="0" applyFont="1" applyBorder="1" applyAlignment="1">
      <alignment horizontal="center" vertical="center" wrapText="1"/>
    </xf>
    <xf numFmtId="0" fontId="23" fillId="0" borderId="61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7" fillId="3" borderId="45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22" fillId="3" borderId="43" xfId="0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/>
    </xf>
    <xf numFmtId="0" fontId="17" fillId="3" borderId="46" xfId="0" applyFont="1" applyFill="1" applyBorder="1" applyAlignment="1">
      <alignment horizontal="center" vertical="center"/>
    </xf>
    <xf numFmtId="0" fontId="17" fillId="3" borderId="63" xfId="0" applyFont="1" applyFill="1" applyBorder="1" applyAlignment="1">
      <alignment horizontal="center" vertical="center"/>
    </xf>
    <xf numFmtId="2" fontId="17" fillId="0" borderId="9" xfId="0" applyNumberFormat="1" applyFont="1" applyBorder="1" applyAlignment="1">
      <alignment horizontal="center" vertical="center"/>
    </xf>
    <xf numFmtId="2" fontId="23" fillId="0" borderId="3" xfId="0" applyNumberFormat="1" applyFont="1" applyBorder="1" applyAlignment="1" applyProtection="1">
      <alignment horizontal="center" vertical="center"/>
      <protection locked="0"/>
    </xf>
    <xf numFmtId="2" fontId="0" fillId="0" borderId="0" xfId="0" applyNumberFormat="1"/>
    <xf numFmtId="0" fontId="19" fillId="3" borderId="15" xfId="0" applyFont="1" applyFill="1" applyBorder="1" applyAlignment="1">
      <alignment horizontal="center" vertical="center" wrapText="1"/>
    </xf>
    <xf numFmtId="0" fontId="23" fillId="0" borderId="6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7" fillId="3" borderId="60" xfId="0" applyFont="1" applyFill="1" applyBorder="1" applyAlignment="1">
      <alignment horizontal="center" vertical="center"/>
    </xf>
    <xf numFmtId="0" fontId="17" fillId="3" borderId="62" xfId="0" applyFont="1" applyFill="1" applyBorder="1" applyAlignment="1">
      <alignment horizontal="center" vertical="center"/>
    </xf>
    <xf numFmtId="0" fontId="17" fillId="3" borderId="57" xfId="0" applyFont="1" applyFill="1" applyBorder="1" applyAlignment="1">
      <alignment horizontal="center" vertical="center" wrapText="1"/>
    </xf>
    <xf numFmtId="0" fontId="17" fillId="3" borderId="67" xfId="0" applyFont="1" applyFill="1" applyBorder="1" applyAlignment="1">
      <alignment horizontal="center"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55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65" xfId="0" applyFont="1" applyFill="1" applyBorder="1" applyAlignment="1" applyProtection="1">
      <alignment horizontal="center" vertical="center"/>
      <protection locked="0"/>
    </xf>
    <xf numFmtId="0" fontId="17" fillId="3" borderId="52" xfId="0" applyFont="1" applyFill="1" applyBorder="1" applyAlignment="1" applyProtection="1">
      <alignment horizontal="center" vertical="center"/>
      <protection locked="0"/>
    </xf>
    <xf numFmtId="0" fontId="17" fillId="3" borderId="54" xfId="0" applyFont="1" applyFill="1" applyBorder="1" applyAlignment="1">
      <alignment horizontal="center" vertical="center"/>
    </xf>
    <xf numFmtId="0" fontId="17" fillId="3" borderId="5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49" fontId="18" fillId="3" borderId="56" xfId="0" applyNumberFormat="1" applyFont="1" applyFill="1" applyBorder="1" applyAlignment="1">
      <alignment horizontal="center" vertical="center"/>
    </xf>
    <xf numFmtId="49" fontId="18" fillId="3" borderId="9" xfId="0" applyNumberFormat="1" applyFont="1" applyFill="1" applyBorder="1" applyAlignment="1">
      <alignment horizontal="center" vertical="center"/>
    </xf>
    <xf numFmtId="0" fontId="17" fillId="0" borderId="4" xfId="0" applyFont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left"/>
      <protection locked="0"/>
    </xf>
    <xf numFmtId="0" fontId="27" fillId="0" borderId="86" xfId="0" applyFont="1" applyBorder="1" applyAlignment="1" applyProtection="1">
      <alignment horizontal="left"/>
      <protection locked="0"/>
    </xf>
    <xf numFmtId="0" fontId="17" fillId="3" borderId="66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 wrapText="1"/>
    </xf>
    <xf numFmtId="0" fontId="40" fillId="0" borderId="16" xfId="0" applyFont="1" applyBorder="1"/>
    <xf numFmtId="0" fontId="52" fillId="0" borderId="16" xfId="0" applyFont="1" applyBorder="1" applyAlignment="1">
      <alignment horizontal="center" vertical="center" wrapText="1"/>
    </xf>
    <xf numFmtId="0" fontId="53" fillId="5" borderId="32" xfId="0" applyFont="1" applyFill="1" applyBorder="1" applyAlignment="1">
      <alignment horizontal="center" vertical="center" wrapText="1"/>
    </xf>
    <xf numFmtId="0" fontId="53" fillId="5" borderId="33" xfId="0" applyFont="1" applyFill="1" applyBorder="1" applyAlignment="1">
      <alignment horizontal="center" vertical="center" wrapText="1"/>
    </xf>
    <xf numFmtId="0" fontId="53" fillId="7" borderId="34" xfId="0" applyFont="1" applyFill="1" applyBorder="1" applyAlignment="1">
      <alignment horizontal="center" vertical="center" wrapText="1"/>
    </xf>
    <xf numFmtId="0" fontId="53" fillId="5" borderId="42" xfId="0" applyFont="1" applyFill="1" applyBorder="1" applyAlignment="1">
      <alignment horizontal="center" vertical="center" wrapText="1"/>
    </xf>
    <xf numFmtId="0" fontId="53" fillId="7" borderId="43" xfId="0" applyFont="1" applyFill="1" applyBorder="1" applyAlignment="1">
      <alignment horizontal="center" vertical="center" wrapText="1"/>
    </xf>
    <xf numFmtId="0" fontId="53" fillId="5" borderId="44" xfId="0" applyFont="1" applyFill="1" applyBorder="1" applyAlignment="1">
      <alignment horizontal="center" vertical="center" wrapText="1"/>
    </xf>
    <xf numFmtId="0" fontId="53" fillId="5" borderId="45" xfId="0" applyFont="1" applyFill="1" applyBorder="1" applyAlignment="1">
      <alignment horizontal="center" vertical="center" wrapText="1"/>
    </xf>
    <xf numFmtId="0" fontId="53" fillId="7" borderId="45" xfId="0" applyFont="1" applyFill="1" applyBorder="1" applyAlignment="1">
      <alignment horizontal="center" vertical="center" wrapText="1"/>
    </xf>
    <xf numFmtId="0" fontId="53" fillId="7" borderId="46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4" xfId="0" applyFont="1" applyBorder="1"/>
    <xf numFmtId="0" fontId="58" fillId="0" borderId="4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35" fillId="0" borderId="4" xfId="4" applyFont="1" applyBorder="1"/>
    <xf numFmtId="2" fontId="34" fillId="3" borderId="4" xfId="4" applyNumberFormat="1" applyFont="1" applyFill="1" applyBorder="1" applyAlignment="1">
      <alignment horizontal="center" vertical="center" wrapText="1"/>
    </xf>
    <xf numFmtId="0" fontId="33" fillId="0" borderId="4" xfId="4" applyFont="1" applyBorder="1" applyAlignment="1">
      <alignment horizontal="center"/>
    </xf>
    <xf numFmtId="3" fontId="31" fillId="0" borderId="4" xfId="0" applyNumberFormat="1" applyFont="1" applyBorder="1"/>
    <xf numFmtId="0" fontId="31" fillId="0" borderId="4" xfId="0" applyFont="1" applyBorder="1"/>
    <xf numFmtId="0" fontId="8" fillId="0" borderId="0" xfId="0" applyFont="1"/>
    <xf numFmtId="2" fontId="16" fillId="0" borderId="4" xfId="0" applyNumberFormat="1" applyFont="1" applyBorder="1" applyAlignment="1">
      <alignment horizontal="left" vertical="top"/>
    </xf>
    <xf numFmtId="2" fontId="13" fillId="0" borderId="0" xfId="0" applyNumberFormat="1" applyFont="1"/>
    <xf numFmtId="2" fontId="13" fillId="0" borderId="4" xfId="0" applyNumberFormat="1" applyFont="1" applyBorder="1"/>
    <xf numFmtId="2" fontId="62" fillId="0" borderId="4" xfId="0" applyNumberFormat="1" applyFont="1" applyBorder="1"/>
    <xf numFmtId="2" fontId="63" fillId="0" borderId="4" xfId="0" applyNumberFormat="1" applyFont="1" applyBorder="1" applyAlignment="1">
      <alignment horizontal="right" vertical="center" wrapText="1"/>
    </xf>
    <xf numFmtId="2" fontId="64" fillId="0" borderId="4" xfId="0" applyNumberFormat="1" applyFont="1" applyBorder="1"/>
    <xf numFmtId="2" fontId="13" fillId="0" borderId="4" xfId="0" applyNumberFormat="1" applyFont="1" applyBorder="1" applyAlignment="1">
      <alignment horizontal="right" vertical="top"/>
    </xf>
    <xf numFmtId="2" fontId="13" fillId="0" borderId="4" xfId="0" applyNumberFormat="1" applyFont="1" applyBorder="1" applyAlignment="1">
      <alignment horizontal="left" vertical="top"/>
    </xf>
    <xf numFmtId="43" fontId="0" fillId="0" borderId="0" xfId="0" applyNumberFormat="1"/>
    <xf numFmtId="43" fontId="38" fillId="0" borderId="0" xfId="0" applyNumberFormat="1" applyFont="1"/>
    <xf numFmtId="165" fontId="0" fillId="0" borderId="0" xfId="2" applyNumberFormat="1" applyFont="1"/>
    <xf numFmtId="2" fontId="62" fillId="3" borderId="4" xfId="0" applyNumberFormat="1" applyFont="1" applyFill="1" applyBorder="1" applyAlignment="1">
      <alignment horizontal="center"/>
    </xf>
    <xf numFmtId="10" fontId="0" fillId="0" borderId="4" xfId="1" applyNumberFormat="1" applyFont="1" applyBorder="1"/>
    <xf numFmtId="0" fontId="0" fillId="0" borderId="4" xfId="0" applyBorder="1" applyAlignment="1">
      <alignment horizontal="right"/>
    </xf>
    <xf numFmtId="2" fontId="13" fillId="0" borderId="4" xfId="0" applyNumberFormat="1" applyFont="1" applyBorder="1" applyAlignment="1">
      <alignment horizontal="center"/>
    </xf>
    <xf numFmtId="165" fontId="0" fillId="0" borderId="4" xfId="2" applyNumberFormat="1" applyFont="1" applyBorder="1"/>
    <xf numFmtId="165" fontId="0" fillId="0" borderId="4" xfId="0" applyNumberFormat="1" applyBorder="1"/>
    <xf numFmtId="10" fontId="0" fillId="0" borderId="4" xfId="0" applyNumberFormat="1" applyBorder="1"/>
    <xf numFmtId="0" fontId="32" fillId="0" borderId="4" xfId="0" applyFont="1" applyBorder="1" applyAlignment="1">
      <alignment wrapText="1"/>
    </xf>
    <xf numFmtId="0" fontId="32" fillId="0" borderId="4" xfId="0" applyFont="1" applyBorder="1"/>
    <xf numFmtId="165" fontId="0" fillId="0" borderId="0" xfId="0" applyNumberFormat="1"/>
    <xf numFmtId="10" fontId="0" fillId="0" borderId="0" xfId="0" applyNumberFormat="1"/>
    <xf numFmtId="2" fontId="13" fillId="0" borderId="0" xfId="0" applyNumberFormat="1" applyFont="1" applyAlignment="1">
      <alignment horizontal="center"/>
    </xf>
    <xf numFmtId="10" fontId="0" fillId="0" borderId="0" xfId="1" applyNumberFormat="1" applyFont="1"/>
    <xf numFmtId="165" fontId="0" fillId="0" borderId="4" xfId="2" applyNumberFormat="1" applyFont="1" applyFill="1" applyBorder="1"/>
    <xf numFmtId="10" fontId="0" fillId="0" borderId="4" xfId="1" applyNumberFormat="1" applyFont="1" applyFill="1" applyBorder="1"/>
    <xf numFmtId="2" fontId="16" fillId="0" borderId="0" xfId="0" applyNumberFormat="1" applyFont="1" applyAlignment="1">
      <alignment horizontal="left" vertical="top"/>
    </xf>
    <xf numFmtId="10" fontId="0" fillId="0" borderId="14" xfId="1" applyNumberFormat="1" applyFont="1" applyFill="1" applyBorder="1"/>
    <xf numFmtId="2" fontId="16" fillId="0" borderId="42" xfId="0" applyNumberFormat="1" applyFont="1" applyBorder="1" applyAlignment="1">
      <alignment horizontal="left" vertical="top"/>
    </xf>
    <xf numFmtId="0" fontId="0" fillId="0" borderId="44" xfId="0" applyBorder="1" applyAlignment="1">
      <alignment horizontal="right"/>
    </xf>
    <xf numFmtId="0" fontId="0" fillId="0" borderId="45" xfId="0" applyBorder="1"/>
    <xf numFmtId="10" fontId="0" fillId="0" borderId="45" xfId="1" applyNumberFormat="1" applyFont="1" applyFill="1" applyBorder="1"/>
    <xf numFmtId="0" fontId="40" fillId="4" borderId="4" xfId="4" applyFont="1" applyFill="1" applyBorder="1"/>
    <xf numFmtId="9" fontId="41" fillId="0" borderId="4" xfId="1" applyFont="1" applyBorder="1"/>
    <xf numFmtId="171" fontId="33" fillId="0" borderId="0" xfId="4" applyNumberFormat="1" applyFont="1"/>
    <xf numFmtId="0" fontId="61" fillId="0" borderId="0" xfId="4" applyFont="1"/>
    <xf numFmtId="0" fontId="68" fillId="3" borderId="4" xfId="0" applyFont="1" applyFill="1" applyBorder="1" applyAlignment="1">
      <alignment horizontal="center" vertical="center" wrapText="1"/>
    </xf>
    <xf numFmtId="0" fontId="68" fillId="3" borderId="43" xfId="0" applyFont="1" applyFill="1" applyBorder="1" applyAlignment="1">
      <alignment horizontal="center" vertical="center" wrapText="1"/>
    </xf>
    <xf numFmtId="0" fontId="41" fillId="0" borderId="44" xfId="4" applyFont="1" applyBorder="1"/>
    <xf numFmtId="0" fontId="40" fillId="0" borderId="61" xfId="4" applyFont="1" applyBorder="1"/>
    <xf numFmtId="0" fontId="40" fillId="0" borderId="15" xfId="4" applyFont="1" applyBorder="1"/>
    <xf numFmtId="3" fontId="40" fillId="0" borderId="15" xfId="4" applyNumberFormat="1" applyFont="1" applyBorder="1"/>
    <xf numFmtId="3" fontId="40" fillId="0" borderId="47" xfId="4" applyNumberFormat="1" applyFont="1" applyBorder="1"/>
    <xf numFmtId="2" fontId="34" fillId="3" borderId="71" xfId="4" applyNumberFormat="1" applyFont="1" applyFill="1" applyBorder="1" applyAlignment="1">
      <alignment horizontal="center" vertical="center" wrapText="1"/>
    </xf>
    <xf numFmtId="0" fontId="64" fillId="0" borderId="0" xfId="4" applyFont="1"/>
    <xf numFmtId="43" fontId="64" fillId="0" borderId="0" xfId="2" applyFont="1"/>
    <xf numFmtId="43" fontId="33" fillId="0" borderId="0" xfId="4" applyNumberFormat="1" applyFont="1"/>
    <xf numFmtId="10" fontId="64" fillId="0" borderId="0" xfId="1" applyNumberFormat="1" applyFont="1"/>
    <xf numFmtId="172" fontId="64" fillId="0" borderId="0" xfId="1" applyNumberFormat="1" applyFont="1"/>
    <xf numFmtId="0" fontId="41" fillId="0" borderId="0" xfId="4" applyFont="1"/>
    <xf numFmtId="4" fontId="40" fillId="0" borderId="4" xfId="4" applyNumberFormat="1" applyFont="1" applyBorder="1"/>
    <xf numFmtId="0" fontId="35" fillId="3" borderId="4" xfId="4" applyFont="1" applyFill="1" applyBorder="1"/>
    <xf numFmtId="10" fontId="33" fillId="0" borderId="0" xfId="1" applyNumberFormat="1" applyFont="1"/>
    <xf numFmtId="0" fontId="73" fillId="0" borderId="0" xfId="0" applyFont="1"/>
    <xf numFmtId="4" fontId="73" fillId="0" borderId="0" xfId="0" applyNumberFormat="1" applyFont="1"/>
    <xf numFmtId="2" fontId="34" fillId="3" borderId="9" xfId="4" applyNumberFormat="1" applyFont="1" applyFill="1" applyBorder="1" applyAlignment="1">
      <alignment horizontal="center" vertical="center" wrapText="1"/>
    </xf>
    <xf numFmtId="0" fontId="37" fillId="0" borderId="0" xfId="0" applyFont="1" applyAlignment="1" applyProtection="1">
      <alignment horizontal="left"/>
      <protection locked="0"/>
    </xf>
    <xf numFmtId="0" fontId="29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22" fillId="3" borderId="15" xfId="0" applyFont="1" applyFill="1" applyBorder="1" applyAlignment="1">
      <alignment horizontal="center" vertical="center"/>
    </xf>
    <xf numFmtId="0" fontId="0" fillId="0" borderId="61" xfId="0" applyBorder="1" applyAlignment="1">
      <alignment horizontal="right"/>
    </xf>
    <xf numFmtId="0" fontId="0" fillId="0" borderId="15" xfId="0" applyBorder="1"/>
    <xf numFmtId="10" fontId="0" fillId="0" borderId="15" xfId="1" applyNumberFormat="1" applyFont="1" applyFill="1" applyBorder="1"/>
    <xf numFmtId="0" fontId="0" fillId="0" borderId="88" xfId="0" applyBorder="1"/>
    <xf numFmtId="2" fontId="16" fillId="0" borderId="64" xfId="0" applyNumberFormat="1" applyFont="1" applyBorder="1" applyAlignment="1">
      <alignment horizontal="left" vertical="top"/>
    </xf>
    <xf numFmtId="168" fontId="23" fillId="0" borderId="4" xfId="2" applyNumberFormat="1" applyFont="1" applyFill="1" applyBorder="1" applyAlignment="1" applyProtection="1">
      <alignment horizontal="center" vertical="center"/>
      <protection locked="0"/>
    </xf>
    <xf numFmtId="0" fontId="25" fillId="0" borderId="4" xfId="0" applyFont="1" applyBorder="1" applyAlignment="1" applyProtection="1">
      <alignment horizontal="center" vertical="center"/>
      <protection locked="0"/>
    </xf>
    <xf numFmtId="0" fontId="25" fillId="0" borderId="4" xfId="0" applyFont="1" applyBorder="1" applyAlignment="1" applyProtection="1">
      <alignment horizontal="center" vertical="center" wrapText="1"/>
      <protection locked="0"/>
    </xf>
    <xf numFmtId="2" fontId="25" fillId="0" borderId="4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65" fontId="76" fillId="0" borderId="4" xfId="2" applyNumberFormat="1" applyFont="1" applyFill="1" applyBorder="1"/>
    <xf numFmtId="10" fontId="76" fillId="0" borderId="4" xfId="1" applyNumberFormat="1" applyFont="1" applyFill="1" applyBorder="1"/>
    <xf numFmtId="165" fontId="57" fillId="0" borderId="4" xfId="2" applyNumberFormat="1" applyFont="1" applyFill="1" applyBorder="1"/>
    <xf numFmtId="10" fontId="57" fillId="0" borderId="4" xfId="1" applyNumberFormat="1" applyFont="1" applyFill="1" applyBorder="1"/>
    <xf numFmtId="10" fontId="57" fillId="0" borderId="14" xfId="1" applyNumberFormat="1" applyFont="1" applyFill="1" applyBorder="1"/>
    <xf numFmtId="0" fontId="77" fillId="0" borderId="0" xfId="0" applyFont="1" applyAlignment="1" applyProtection="1">
      <alignment horizontal="left"/>
      <protection locked="0"/>
    </xf>
    <xf numFmtId="0" fontId="77" fillId="0" borderId="0" xfId="0" applyFont="1"/>
    <xf numFmtId="0" fontId="76" fillId="0" borderId="4" xfId="0" applyFont="1" applyBorder="1" applyAlignment="1">
      <alignment wrapText="1"/>
    </xf>
    <xf numFmtId="0" fontId="76" fillId="0" borderId="4" xfId="0" applyFont="1" applyBorder="1" applyAlignment="1">
      <alignment horizontal="center" wrapText="1"/>
    </xf>
    <xf numFmtId="0" fontId="76" fillId="0" borderId="4" xfId="0" applyFont="1" applyBorder="1" applyAlignment="1">
      <alignment horizontal="center"/>
    </xf>
    <xf numFmtId="0" fontId="57" fillId="0" borderId="4" xfId="0" applyFont="1" applyBorder="1"/>
    <xf numFmtId="0" fontId="57" fillId="0" borderId="4" xfId="0" applyFont="1" applyBorder="1" applyAlignment="1">
      <alignment horizontal="right"/>
    </xf>
    <xf numFmtId="165" fontId="57" fillId="0" borderId="4" xfId="0" applyNumberFormat="1" applyFont="1" applyBorder="1"/>
    <xf numFmtId="10" fontId="57" fillId="0" borderId="4" xfId="0" applyNumberFormat="1" applyFont="1" applyBorder="1"/>
    <xf numFmtId="0" fontId="57" fillId="0" borderId="0" xfId="0" applyFont="1" applyAlignment="1">
      <alignment horizontal="right"/>
    </xf>
    <xf numFmtId="165" fontId="57" fillId="0" borderId="0" xfId="0" applyNumberFormat="1" applyFont="1"/>
    <xf numFmtId="10" fontId="57" fillId="0" borderId="0" xfId="0" applyNumberFormat="1" applyFont="1"/>
    <xf numFmtId="43" fontId="57" fillId="0" borderId="0" xfId="0" applyNumberFormat="1" applyFont="1"/>
    <xf numFmtId="43" fontId="75" fillId="0" borderId="0" xfId="0" applyNumberFormat="1" applyFont="1"/>
    <xf numFmtId="2" fontId="78" fillId="0" borderId="4" xfId="0" applyNumberFormat="1" applyFont="1" applyBorder="1" applyAlignment="1">
      <alignment horizontal="center"/>
    </xf>
    <xf numFmtId="2" fontId="79" fillId="0" borderId="4" xfId="0" applyNumberFormat="1" applyFont="1" applyBorder="1" applyAlignment="1">
      <alignment horizontal="center"/>
    </xf>
    <xf numFmtId="9" fontId="57" fillId="0" borderId="0" xfId="1" applyFont="1" applyFill="1"/>
    <xf numFmtId="0" fontId="76" fillId="0" borderId="4" xfId="0" applyFont="1" applyBorder="1"/>
    <xf numFmtId="0" fontId="76" fillId="0" borderId="0" xfId="0" applyFont="1"/>
    <xf numFmtId="0" fontId="76" fillId="0" borderId="4" xfId="0" applyFont="1" applyBorder="1" applyAlignment="1">
      <alignment horizontal="right"/>
    </xf>
    <xf numFmtId="165" fontId="76" fillId="0" borderId="4" xfId="0" applyNumberFormat="1" applyFont="1" applyBorder="1"/>
    <xf numFmtId="10" fontId="76" fillId="0" borderId="4" xfId="0" applyNumberFormat="1" applyFont="1" applyBorder="1"/>
    <xf numFmtId="0" fontId="76" fillId="0" borderId="0" xfId="0" applyFont="1" applyAlignment="1">
      <alignment horizontal="right"/>
    </xf>
    <xf numFmtId="165" fontId="76" fillId="0" borderId="0" xfId="0" applyNumberFormat="1" applyFont="1"/>
    <xf numFmtId="10" fontId="76" fillId="0" borderId="0" xfId="0" applyNumberFormat="1" applyFont="1"/>
    <xf numFmtId="2" fontId="78" fillId="0" borderId="4" xfId="0" applyNumberFormat="1" applyFont="1" applyBorder="1"/>
    <xf numFmtId="2" fontId="79" fillId="0" borderId="4" xfId="0" applyNumberFormat="1" applyFont="1" applyBorder="1"/>
    <xf numFmtId="0" fontId="77" fillId="0" borderId="51" xfId="0" applyFont="1" applyBorder="1" applyAlignment="1">
      <alignment horizontal="left"/>
    </xf>
    <xf numFmtId="0" fontId="77" fillId="0" borderId="39" xfId="0" applyFont="1" applyBorder="1" applyAlignment="1">
      <alignment horizontal="left"/>
    </xf>
    <xf numFmtId="0" fontId="77" fillId="0" borderId="35" xfId="0" applyFont="1" applyBorder="1" applyAlignment="1">
      <alignment horizontal="left"/>
    </xf>
    <xf numFmtId="2" fontId="79" fillId="0" borderId="0" xfId="0" applyNumberFormat="1" applyFont="1"/>
    <xf numFmtId="0" fontId="81" fillId="0" borderId="0" xfId="0" applyFont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wrapText="1"/>
    </xf>
    <xf numFmtId="165" fontId="0" fillId="9" borderId="4" xfId="0" applyNumberFormat="1" applyFill="1" applyBorder="1"/>
    <xf numFmtId="0" fontId="48" fillId="0" borderId="65" xfId="0" applyFont="1" applyBorder="1"/>
    <xf numFmtId="0" fontId="48" fillId="0" borderId="56" xfId="0" applyFont="1" applyBorder="1"/>
    <xf numFmtId="0" fontId="48" fillId="0" borderId="57" xfId="0" applyFont="1" applyBorder="1"/>
    <xf numFmtId="2" fontId="0" fillId="4" borderId="4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7" fillId="0" borderId="4" xfId="0" applyNumberFormat="1" applyFont="1" applyBorder="1" applyAlignment="1">
      <alignment horizontal="center"/>
    </xf>
    <xf numFmtId="3" fontId="36" fillId="0" borderId="4" xfId="0" applyNumberFormat="1" applyFont="1" applyBorder="1" applyAlignment="1">
      <alignment horizontal="center"/>
    </xf>
    <xf numFmtId="0" fontId="57" fillId="0" borderId="4" xfId="0" applyFont="1" applyBorder="1" applyAlignment="1">
      <alignment horizontal="center"/>
    </xf>
    <xf numFmtId="0" fontId="57" fillId="0" borderId="4" xfId="0" applyFont="1" applyBorder="1" applyAlignment="1">
      <alignment wrapText="1"/>
    </xf>
    <xf numFmtId="2" fontId="40" fillId="0" borderId="42" xfId="4" applyNumberFormat="1" applyFont="1" applyBorder="1" applyAlignment="1">
      <alignment wrapText="1"/>
    </xf>
    <xf numFmtId="43" fontId="72" fillId="0" borderId="45" xfId="2" applyFont="1" applyBorder="1" applyAlignment="1">
      <alignment vertical="center" wrapText="1"/>
    </xf>
    <xf numFmtId="43" fontId="72" fillId="0" borderId="46" xfId="2" applyFont="1" applyBorder="1" applyAlignment="1">
      <alignment vertical="center" wrapText="1"/>
    </xf>
    <xf numFmtId="10" fontId="61" fillId="0" borderId="0" xfId="1" applyNumberFormat="1" applyFont="1"/>
    <xf numFmtId="0" fontId="48" fillId="0" borderId="54" xfId="0" applyFont="1" applyBorder="1"/>
    <xf numFmtId="0" fontId="17" fillId="3" borderId="4" xfId="0" applyFont="1" applyFill="1" applyBorder="1" applyAlignment="1">
      <alignment horizontal="center" vertical="center" wrapText="1"/>
    </xf>
    <xf numFmtId="49" fontId="18" fillId="3" borderId="4" xfId="0" applyNumberFormat="1" applyFont="1" applyFill="1" applyBorder="1" applyAlignment="1">
      <alignment horizontal="center" vertical="center"/>
    </xf>
    <xf numFmtId="0" fontId="23" fillId="0" borderId="4" xfId="0" applyFont="1" applyBorder="1" applyAlignment="1">
      <alignment vertical="top" wrapText="1"/>
    </xf>
    <xf numFmtId="164" fontId="23" fillId="0" borderId="4" xfId="0" applyNumberFormat="1" applyFont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vertical="top" wrapText="1"/>
      <protection locked="0"/>
    </xf>
    <xf numFmtId="168" fontId="23" fillId="0" borderId="4" xfId="2" applyNumberFormat="1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9" fillId="0" borderId="4" xfId="0" applyFont="1" applyBorder="1" applyAlignment="1" applyProtection="1">
      <alignment horizontal="left"/>
      <protection locked="0"/>
    </xf>
    <xf numFmtId="0" fontId="29" fillId="0" borderId="4" xfId="0" applyFont="1" applyBorder="1" applyAlignment="1">
      <alignment horizontal="left" wrapText="1"/>
    </xf>
    <xf numFmtId="9" fontId="31" fillId="0" borderId="4" xfId="5" applyFont="1" applyBorder="1" applyAlignment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center" wrapText="1"/>
    </xf>
    <xf numFmtId="0" fontId="8" fillId="0" borderId="0" xfId="0" applyFont="1" applyAlignment="1" applyProtection="1">
      <alignment horizontal="left"/>
      <protection locked="0"/>
    </xf>
    <xf numFmtId="0" fontId="31" fillId="0" borderId="0" xfId="0" applyFont="1"/>
    <xf numFmtId="0" fontId="84" fillId="0" borderId="0" xfId="0" applyFont="1" applyAlignment="1">
      <alignment horizontal="left" vertical="center"/>
    </xf>
    <xf numFmtId="0" fontId="85" fillId="3" borderId="4" xfId="0" applyFont="1" applyFill="1" applyBorder="1" applyAlignment="1">
      <alignment horizontal="center" vertical="center" wrapText="1"/>
    </xf>
    <xf numFmtId="0" fontId="86" fillId="3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9" fontId="13" fillId="0" borderId="4" xfId="1" applyFont="1" applyFill="1" applyBorder="1" applyAlignment="1" applyProtection="1">
      <alignment horizontal="center" vertical="center"/>
      <protection locked="0"/>
    </xf>
    <xf numFmtId="0" fontId="38" fillId="0" borderId="0" xfId="0" applyFont="1"/>
    <xf numFmtId="0" fontId="41" fillId="3" borderId="4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2" fontId="64" fillId="0" borderId="4" xfId="0" applyNumberFormat="1" applyFont="1" applyBorder="1" applyAlignment="1">
      <alignment horizontal="center" vertical="center" wrapText="1"/>
    </xf>
    <xf numFmtId="2" fontId="64" fillId="0" borderId="0" xfId="0" applyNumberFormat="1" applyFont="1" applyAlignment="1">
      <alignment horizontal="center" vertical="center" wrapText="1"/>
    </xf>
    <xf numFmtId="10" fontId="13" fillId="0" borderId="4" xfId="0" applyNumberFormat="1" applyFont="1" applyBorder="1" applyAlignment="1" applyProtection="1">
      <alignment horizontal="center" vertical="center"/>
      <protection locked="0"/>
    </xf>
    <xf numFmtId="0" fontId="0" fillId="3" borderId="0" xfId="0" applyFill="1"/>
    <xf numFmtId="0" fontId="8" fillId="3" borderId="0" xfId="0" applyFont="1" applyFill="1"/>
    <xf numFmtId="0" fontId="0" fillId="0" borderId="4" xfId="0" applyBorder="1" applyAlignment="1">
      <alignment horizontal="center"/>
    </xf>
    <xf numFmtId="173" fontId="0" fillId="0" borderId="4" xfId="2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41" fillId="2" borderId="4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87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0" borderId="0" xfId="0" applyFont="1"/>
    <xf numFmtId="2" fontId="40" fillId="0" borderId="4" xfId="0" applyNumberFormat="1" applyFont="1" applyBorder="1" applyAlignment="1">
      <alignment horizontal="center" vertical="center" wrapText="1"/>
    </xf>
    <xf numFmtId="9" fontId="38" fillId="0" borderId="4" xfId="1" applyFont="1" applyFill="1" applyBorder="1" applyAlignment="1" applyProtection="1">
      <alignment horizontal="center" vertical="center"/>
      <protection locked="0"/>
    </xf>
    <xf numFmtId="2" fontId="40" fillId="0" borderId="0" xfId="0" applyNumberFormat="1" applyFont="1" applyAlignment="1">
      <alignment horizontal="center" vertical="center" wrapText="1"/>
    </xf>
    <xf numFmtId="0" fontId="40" fillId="0" borderId="0" xfId="0" applyFont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center" vertical="center" wrapText="1"/>
    </xf>
    <xf numFmtId="0" fontId="64" fillId="0" borderId="0" xfId="14" applyFont="1"/>
    <xf numFmtId="0" fontId="41" fillId="0" borderId="4" xfId="0" applyFont="1" applyBorder="1" applyAlignment="1">
      <alignment horizontal="center" vertical="center"/>
    </xf>
    <xf numFmtId="0" fontId="0" fillId="0" borderId="0" xfId="0" applyAlignment="1">
      <alignment wrapText="1"/>
    </xf>
    <xf numFmtId="4" fontId="62" fillId="0" borderId="4" xfId="0" applyNumberFormat="1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horizontal="center" vertical="center" wrapText="1"/>
    </xf>
    <xf numFmtId="0" fontId="62" fillId="2" borderId="4" xfId="0" applyFont="1" applyFill="1" applyBorder="1" applyAlignment="1">
      <alignment horizontal="center" vertical="center"/>
    </xf>
    <xf numFmtId="0" fontId="62" fillId="2" borderId="4" xfId="0" applyFont="1" applyFill="1" applyBorder="1" applyAlignment="1">
      <alignment horizontal="center" vertical="center" wrapText="1"/>
    </xf>
    <xf numFmtId="0" fontId="89" fillId="0" borderId="0" xfId="0" applyFont="1" applyAlignment="1">
      <alignment vertical="center" wrapText="1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2" fontId="40" fillId="10" borderId="4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13" fillId="0" borderId="0" xfId="0" applyNumberFormat="1" applyFont="1"/>
    <xf numFmtId="0" fontId="40" fillId="0" borderId="4" xfId="0" applyFont="1" applyBorder="1" applyAlignment="1">
      <alignment horizontal="center" vertical="center"/>
    </xf>
    <xf numFmtId="10" fontId="38" fillId="0" borderId="4" xfId="0" applyNumberFormat="1" applyFont="1" applyBorder="1" applyAlignment="1" applyProtection="1">
      <alignment horizontal="center" vertical="center"/>
      <protection locked="0"/>
    </xf>
    <xf numFmtId="0" fontId="94" fillId="0" borderId="0" xfId="0" applyFont="1" applyAlignment="1">
      <alignment wrapText="1"/>
    </xf>
    <xf numFmtId="0" fontId="62" fillId="0" borderId="14" xfId="0" applyFont="1" applyBorder="1" applyAlignment="1">
      <alignment horizontal="left"/>
    </xf>
    <xf numFmtId="0" fontId="62" fillId="0" borderId="39" xfId="0" applyFont="1" applyBorder="1" applyAlignment="1">
      <alignment horizontal="left"/>
    </xf>
    <xf numFmtId="0" fontId="62" fillId="0" borderId="35" xfId="0" applyFont="1" applyBorder="1" applyAlignment="1">
      <alignment horizontal="left"/>
    </xf>
    <xf numFmtId="0" fontId="88" fillId="0" borderId="4" xfId="0" applyFont="1" applyBorder="1" applyAlignment="1">
      <alignment horizontal="left" vertical="center" wrapText="1"/>
    </xf>
    <xf numFmtId="0" fontId="88" fillId="0" borderId="14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right" wrapText="1"/>
    </xf>
    <xf numFmtId="0" fontId="40" fillId="0" borderId="14" xfId="0" applyFont="1" applyBorder="1" applyAlignment="1">
      <alignment horizontal="right" wrapText="1"/>
    </xf>
    <xf numFmtId="0" fontId="40" fillId="0" borderId="35" xfId="0" applyFont="1" applyBorder="1" applyAlignment="1">
      <alignment horizontal="right" wrapText="1"/>
    </xf>
    <xf numFmtId="0" fontId="62" fillId="0" borderId="35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right" vertical="center" wrapText="1"/>
    </xf>
    <xf numFmtId="0" fontId="96" fillId="3" borderId="92" xfId="0" applyFont="1" applyFill="1" applyBorder="1" applyAlignment="1">
      <alignment horizontal="center" vertical="center"/>
    </xf>
    <xf numFmtId="0" fontId="96" fillId="3" borderId="93" xfId="0" applyFont="1" applyFill="1" applyBorder="1" applyAlignment="1">
      <alignment horizontal="center" vertical="center" wrapText="1"/>
    </xf>
    <xf numFmtId="0" fontId="96" fillId="3" borderId="94" xfId="0" applyFont="1" applyFill="1" applyBorder="1" applyAlignment="1">
      <alignment horizontal="center" vertical="center" wrapText="1"/>
    </xf>
    <xf numFmtId="0" fontId="96" fillId="11" borderId="92" xfId="0" applyFont="1" applyFill="1" applyBorder="1" applyAlignment="1">
      <alignment horizontal="center" vertical="center" wrapText="1"/>
    </xf>
    <xf numFmtId="0" fontId="96" fillId="11" borderId="93" xfId="0" applyFont="1" applyFill="1" applyBorder="1" applyAlignment="1">
      <alignment horizontal="center" vertical="center" wrapText="1"/>
    </xf>
    <xf numFmtId="0" fontId="96" fillId="11" borderId="94" xfId="0" applyFont="1" applyFill="1" applyBorder="1" applyAlignment="1">
      <alignment horizontal="center" vertical="center" wrapText="1"/>
    </xf>
    <xf numFmtId="0" fontId="85" fillId="0" borderId="9" xfId="0" applyFont="1" applyBorder="1" applyAlignment="1">
      <alignment horizontal="center" vertical="center"/>
    </xf>
    <xf numFmtId="0" fontId="85" fillId="0" borderId="4" xfId="0" applyFont="1" applyBorder="1" applyAlignment="1">
      <alignment horizontal="center" vertical="center"/>
    </xf>
    <xf numFmtId="0" fontId="97" fillId="11" borderId="93" xfId="0" applyFont="1" applyFill="1" applyBorder="1" applyAlignment="1">
      <alignment horizontal="center" vertical="center" wrapText="1"/>
    </xf>
    <xf numFmtId="0" fontId="96" fillId="11" borderId="4" xfId="0" applyFont="1" applyFill="1" applyBorder="1" applyAlignment="1">
      <alignment horizontal="center" vertical="center" wrapText="1"/>
    </xf>
    <xf numFmtId="0" fontId="93" fillId="0" borderId="4" xfId="0" applyFont="1" applyBorder="1" applyAlignment="1">
      <alignment horizontal="center" vertical="center"/>
    </xf>
    <xf numFmtId="0" fontId="88" fillId="0" borderId="4" xfId="0" applyFont="1" applyBorder="1" applyAlignment="1">
      <alignment horizontal="center" vertical="center" wrapText="1"/>
    </xf>
    <xf numFmtId="0" fontId="88" fillId="0" borderId="39" xfId="0" applyFont="1" applyBorder="1" applyAlignment="1">
      <alignment horizontal="left" vertical="center" wrapText="1"/>
    </xf>
    <xf numFmtId="0" fontId="98" fillId="0" borderId="4" xfId="0" applyFont="1" applyBorder="1" applyAlignment="1">
      <alignment horizontal="center" vertical="center" wrapText="1"/>
    </xf>
    <xf numFmtId="0" fontId="98" fillId="0" borderId="4" xfId="0" applyFont="1" applyBorder="1" applyAlignment="1">
      <alignment horizontal="center" wrapText="1"/>
    </xf>
    <xf numFmtId="0" fontId="93" fillId="0" borderId="3" xfId="0" applyFont="1" applyBorder="1" applyAlignment="1">
      <alignment horizontal="center" vertical="center"/>
    </xf>
    <xf numFmtId="43" fontId="60" fillId="0" borderId="0" xfId="2" applyFont="1" applyAlignment="1">
      <alignment horizontal="center" vertical="center"/>
    </xf>
    <xf numFmtId="0" fontId="93" fillId="0" borderId="9" xfId="0" applyFont="1" applyBorder="1" applyAlignment="1">
      <alignment horizontal="center" vertical="center" wrapText="1"/>
    </xf>
    <xf numFmtId="0" fontId="85" fillId="0" borderId="9" xfId="0" applyFont="1" applyBorder="1" applyAlignment="1">
      <alignment horizontal="center" vertical="center" wrapText="1"/>
    </xf>
    <xf numFmtId="0" fontId="93" fillId="0" borderId="4" xfId="0" applyFont="1" applyBorder="1" applyAlignment="1">
      <alignment horizontal="center" wrapText="1"/>
    </xf>
    <xf numFmtId="0" fontId="85" fillId="0" borderId="9" xfId="0" applyFont="1" applyBorder="1" applyAlignment="1">
      <alignment vertical="center" wrapText="1"/>
    </xf>
    <xf numFmtId="9" fontId="85" fillId="0" borderId="9" xfId="0" applyNumberFormat="1" applyFont="1" applyBorder="1" applyAlignment="1">
      <alignment horizontal="center" vertical="center"/>
    </xf>
    <xf numFmtId="14" fontId="85" fillId="0" borderId="9" xfId="0" applyNumberFormat="1" applyFont="1" applyBorder="1" applyAlignment="1">
      <alignment horizontal="center" vertical="center"/>
    </xf>
    <xf numFmtId="0" fontId="85" fillId="0" borderId="4" xfId="0" applyFont="1" applyBorder="1" applyAlignment="1">
      <alignment horizontal="center" vertical="center" wrapText="1"/>
    </xf>
    <xf numFmtId="0" fontId="93" fillId="0" borderId="4" xfId="0" applyFont="1" applyBorder="1" applyAlignment="1">
      <alignment horizontal="center" vertical="center" wrapText="1"/>
    </xf>
    <xf numFmtId="0" fontId="93" fillId="0" borderId="4" xfId="0" applyFont="1" applyBorder="1" applyAlignment="1">
      <alignment horizontal="left" vertical="center" wrapText="1"/>
    </xf>
    <xf numFmtId="0" fontId="85" fillId="0" borderId="4" xfId="0" applyFont="1" applyBorder="1" applyAlignment="1">
      <alignment horizontal="center"/>
    </xf>
    <xf numFmtId="0" fontId="85" fillId="0" borderId="9" xfId="0" applyFont="1" applyBorder="1" applyAlignment="1">
      <alignment horizontal="left" vertical="center" wrapText="1"/>
    </xf>
    <xf numFmtId="0" fontId="88" fillId="0" borderId="35" xfId="0" applyFont="1" applyBorder="1" applyAlignment="1">
      <alignment horizontal="center" vertical="center" wrapText="1"/>
    </xf>
    <xf numFmtId="0" fontId="98" fillId="0" borderId="35" xfId="0" applyFont="1" applyBorder="1" applyAlignment="1">
      <alignment horizontal="center" vertical="center" wrapText="1"/>
    </xf>
    <xf numFmtId="9" fontId="38" fillId="0" borderId="0" xfId="1" applyFont="1" applyFill="1" applyBorder="1" applyAlignment="1" applyProtection="1">
      <alignment horizontal="center" vertical="center"/>
      <protection locked="0"/>
    </xf>
    <xf numFmtId="10" fontId="38" fillId="0" borderId="0" xfId="0" applyNumberFormat="1" applyFont="1" applyAlignment="1" applyProtection="1">
      <alignment horizontal="center" vertical="center"/>
      <protection locked="0"/>
    </xf>
    <xf numFmtId="0" fontId="99" fillId="0" borderId="14" xfId="0" applyFont="1" applyBorder="1" applyAlignment="1">
      <alignment horizontal="center" vertical="center"/>
    </xf>
    <xf numFmtId="0" fontId="100" fillId="0" borderId="35" xfId="0" applyFont="1" applyBorder="1" applyAlignment="1">
      <alignment horizontal="center" vertical="center" wrapText="1"/>
    </xf>
    <xf numFmtId="0" fontId="100" fillId="0" borderId="4" xfId="0" applyFont="1" applyBorder="1" applyAlignment="1">
      <alignment horizontal="left" vertical="center" wrapText="1"/>
    </xf>
    <xf numFmtId="2" fontId="99" fillId="0" borderId="4" xfId="0" applyNumberFormat="1" applyFont="1" applyBorder="1" applyAlignment="1">
      <alignment horizontal="center" vertical="center" wrapText="1"/>
    </xf>
    <xf numFmtId="4" fontId="78" fillId="0" borderId="4" xfId="0" applyNumberFormat="1" applyFont="1" applyBorder="1" applyAlignment="1">
      <alignment horizontal="center" vertical="center" wrapText="1"/>
    </xf>
    <xf numFmtId="43" fontId="102" fillId="0" borderId="4" xfId="2" applyFont="1" applyFill="1" applyBorder="1" applyAlignment="1">
      <alignment horizontal="left" vertical="center" wrapText="1"/>
    </xf>
    <xf numFmtId="173" fontId="102" fillId="0" borderId="4" xfId="2" applyNumberFormat="1" applyFont="1" applyFill="1" applyBorder="1" applyAlignment="1">
      <alignment horizontal="left" vertical="center" wrapText="1"/>
    </xf>
    <xf numFmtId="173" fontId="78" fillId="0" borderId="4" xfId="0" applyNumberFormat="1" applyFont="1" applyBorder="1" applyAlignment="1">
      <alignment horizontal="center" vertical="center" wrapText="1"/>
    </xf>
    <xf numFmtId="10" fontId="78" fillId="0" borderId="4" xfId="1" applyNumberFormat="1" applyFont="1" applyFill="1" applyBorder="1" applyAlignment="1">
      <alignment horizontal="center" vertical="center" wrapText="1"/>
    </xf>
    <xf numFmtId="174" fontId="78" fillId="0" borderId="4" xfId="0" applyNumberFormat="1" applyFont="1" applyBorder="1" applyAlignment="1">
      <alignment horizontal="center" vertical="center" wrapText="1"/>
    </xf>
    <xf numFmtId="43" fontId="102" fillId="0" borderId="4" xfId="2" applyFont="1" applyFill="1" applyBorder="1" applyAlignment="1">
      <alignment horizontal="center" vertical="center" wrapText="1"/>
    </xf>
    <xf numFmtId="0" fontId="75" fillId="0" borderId="0" xfId="0" applyFont="1"/>
    <xf numFmtId="0" fontId="57" fillId="0" borderId="0" xfId="0" applyFont="1" applyAlignment="1">
      <alignment horizontal="center"/>
    </xf>
    <xf numFmtId="2" fontId="51" fillId="0" borderId="4" xfId="0" applyNumberFormat="1" applyFont="1" applyBorder="1" applyAlignment="1">
      <alignment horizontal="center" vertical="center" wrapText="1"/>
    </xf>
    <xf numFmtId="0" fontId="72" fillId="0" borderId="4" xfId="0" applyFont="1" applyBorder="1" applyAlignment="1">
      <alignment horizontal="left" vertical="center" wrapText="1"/>
    </xf>
    <xf numFmtId="0" fontId="51" fillId="0" borderId="35" xfId="0" applyFont="1" applyBorder="1" applyAlignment="1">
      <alignment horizontal="right" wrapText="1"/>
    </xf>
    <xf numFmtId="166" fontId="51" fillId="0" borderId="4" xfId="0" applyNumberFormat="1" applyFont="1" applyBorder="1" applyAlignment="1">
      <alignment horizontal="center" vertical="center" wrapText="1"/>
    </xf>
    <xf numFmtId="0" fontId="78" fillId="0" borderId="35" xfId="0" applyFont="1" applyBorder="1" applyAlignment="1">
      <alignment horizontal="center" vertical="center" wrapText="1"/>
    </xf>
    <xf numFmtId="0" fontId="105" fillId="0" borderId="0" xfId="0" applyFont="1"/>
    <xf numFmtId="0" fontId="72" fillId="0" borderId="14" xfId="0" applyFont="1" applyBorder="1" applyAlignment="1">
      <alignment horizontal="right" vertical="center" wrapText="1"/>
    </xf>
    <xf numFmtId="10" fontId="51" fillId="0" borderId="4" xfId="1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2" fontId="0" fillId="0" borderId="27" xfId="0" applyNumberFormat="1" applyBorder="1" applyAlignment="1">
      <alignment horizontal="right" vertical="center"/>
    </xf>
    <xf numFmtId="2" fontId="0" fillId="0" borderId="7" xfId="0" applyNumberFormat="1" applyBorder="1" applyAlignment="1">
      <alignment horizontal="right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2" fontId="0" fillId="0" borderId="0" xfId="0" applyNumberFormat="1" applyAlignment="1">
      <alignment horizontal="right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55" fillId="0" borderId="76" xfId="0" applyFont="1" applyBorder="1" applyAlignment="1">
      <alignment horizontal="center" vertical="center" wrapText="1"/>
    </xf>
    <xf numFmtId="0" fontId="55" fillId="0" borderId="80" xfId="0" applyFont="1" applyBorder="1" applyAlignment="1">
      <alignment horizontal="center" vertical="center" wrapText="1"/>
    </xf>
    <xf numFmtId="0" fontId="55" fillId="0" borderId="85" xfId="0" applyFont="1" applyBorder="1" applyAlignment="1">
      <alignment horizontal="center" vertical="center" wrapText="1"/>
    </xf>
    <xf numFmtId="0" fontId="55" fillId="0" borderId="77" xfId="0" applyFont="1" applyBorder="1" applyAlignment="1">
      <alignment horizontal="center" vertical="center" wrapText="1"/>
    </xf>
    <xf numFmtId="0" fontId="55" fillId="0" borderId="78" xfId="0" applyFont="1" applyBorder="1" applyAlignment="1">
      <alignment horizontal="center" vertical="center" wrapText="1"/>
    </xf>
    <xf numFmtId="0" fontId="55" fillId="0" borderId="79" xfId="0" applyFont="1" applyBorder="1" applyAlignment="1">
      <alignment horizontal="center" vertical="center" wrapText="1"/>
    </xf>
    <xf numFmtId="0" fontId="55" fillId="0" borderId="81" xfId="0" applyFont="1" applyBorder="1" applyAlignment="1">
      <alignment horizontal="center" vertical="center" wrapText="1"/>
    </xf>
    <xf numFmtId="0" fontId="55" fillId="0" borderId="82" xfId="0" applyFont="1" applyBorder="1" applyAlignment="1">
      <alignment horizontal="center" vertical="center" wrapText="1"/>
    </xf>
    <xf numFmtId="0" fontId="55" fillId="0" borderId="83" xfId="0" applyFont="1" applyBorder="1" applyAlignment="1">
      <alignment vertical="center" wrapText="1"/>
    </xf>
    <xf numFmtId="0" fontId="55" fillId="0" borderId="84" xfId="0" applyFont="1" applyBorder="1" applyAlignment="1">
      <alignment vertical="center" wrapText="1"/>
    </xf>
    <xf numFmtId="0" fontId="55" fillId="0" borderId="76" xfId="0" applyFont="1" applyBorder="1" applyAlignment="1">
      <alignment vertical="center" wrapText="1"/>
    </xf>
    <xf numFmtId="0" fontId="55" fillId="0" borderId="80" xfId="0" applyFont="1" applyBorder="1" applyAlignment="1">
      <alignment vertical="center" wrapText="1"/>
    </xf>
    <xf numFmtId="0" fontId="55" fillId="0" borderId="85" xfId="0" applyFont="1" applyBorder="1" applyAlignment="1">
      <alignment vertical="center" wrapText="1"/>
    </xf>
    <xf numFmtId="0" fontId="55" fillId="0" borderId="83" xfId="0" applyFont="1" applyBorder="1" applyAlignment="1">
      <alignment horizontal="center" vertical="center" wrapText="1"/>
    </xf>
    <xf numFmtId="0" fontId="55" fillId="0" borderId="84" xfId="0" applyFont="1" applyBorder="1" applyAlignment="1">
      <alignment horizontal="center" vertical="center" wrapText="1"/>
    </xf>
    <xf numFmtId="0" fontId="40" fillId="0" borderId="76" xfId="0" applyFont="1" applyBorder="1" applyAlignment="1">
      <alignment vertical="center" wrapText="1"/>
    </xf>
    <xf numFmtId="0" fontId="40" fillId="0" borderId="80" xfId="0" applyFont="1" applyBorder="1" applyAlignment="1">
      <alignment vertical="center" wrapText="1"/>
    </xf>
    <xf numFmtId="0" fontId="40" fillId="0" borderId="85" xfId="0" applyFont="1" applyBorder="1" applyAlignment="1">
      <alignment vertical="center" wrapText="1"/>
    </xf>
    <xf numFmtId="0" fontId="40" fillId="0" borderId="81" xfId="0" applyFont="1" applyBorder="1" applyAlignment="1">
      <alignment horizontal="center" vertical="center" wrapText="1"/>
    </xf>
    <xf numFmtId="0" fontId="40" fillId="0" borderId="82" xfId="0" applyFont="1" applyBorder="1" applyAlignment="1">
      <alignment horizontal="center" vertical="center" wrapText="1"/>
    </xf>
    <xf numFmtId="0" fontId="40" fillId="0" borderId="83" xfId="0" applyFont="1" applyBorder="1" applyAlignment="1">
      <alignment horizontal="center" vertical="center" wrapText="1"/>
    </xf>
    <xf numFmtId="0" fontId="40" fillId="0" borderId="84" xfId="0" applyFont="1" applyBorder="1" applyAlignment="1">
      <alignment horizontal="center" vertical="center" wrapText="1"/>
    </xf>
    <xf numFmtId="0" fontId="40" fillId="0" borderId="83" xfId="0" applyFont="1" applyBorder="1" applyAlignment="1">
      <alignment vertical="center" wrapText="1"/>
    </xf>
    <xf numFmtId="0" fontId="40" fillId="0" borderId="84" xfId="0" applyFont="1" applyBorder="1" applyAlignment="1">
      <alignment vertical="center" wrapText="1"/>
    </xf>
    <xf numFmtId="0" fontId="50" fillId="0" borderId="68" xfId="0" applyFont="1" applyBorder="1" applyAlignment="1">
      <alignment horizontal="center" vertical="center" wrapText="1"/>
    </xf>
    <xf numFmtId="0" fontId="50" fillId="0" borderId="69" xfId="0" applyFont="1" applyBorder="1" applyAlignment="1">
      <alignment horizontal="center" vertical="center" wrapText="1"/>
    </xf>
    <xf numFmtId="0" fontId="50" fillId="0" borderId="70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top" wrapText="1"/>
    </xf>
    <xf numFmtId="0" fontId="40" fillId="0" borderId="76" xfId="0" applyFont="1" applyBorder="1" applyAlignment="1">
      <alignment horizontal="center" vertical="center" wrapText="1"/>
    </xf>
    <xf numFmtId="0" fontId="40" fillId="0" borderId="80" xfId="0" applyFont="1" applyBorder="1" applyAlignment="1">
      <alignment horizontal="center" vertical="center" wrapText="1"/>
    </xf>
    <xf numFmtId="0" fontId="40" fillId="0" borderId="85" xfId="0" applyFont="1" applyBorder="1" applyAlignment="1">
      <alignment horizontal="center" vertical="center" wrapText="1"/>
    </xf>
    <xf numFmtId="0" fontId="40" fillId="0" borderId="77" xfId="0" applyFont="1" applyBorder="1" applyAlignment="1">
      <alignment horizontal="center" vertical="center" wrapText="1"/>
    </xf>
    <xf numFmtId="0" fontId="40" fillId="0" borderId="78" xfId="0" applyFont="1" applyBorder="1" applyAlignment="1">
      <alignment horizontal="center" vertical="center" wrapText="1"/>
    </xf>
    <xf numFmtId="0" fontId="40" fillId="0" borderId="79" xfId="0" applyFont="1" applyBorder="1" applyAlignment="1">
      <alignment horizontal="center" vertical="center" wrapText="1"/>
    </xf>
    <xf numFmtId="0" fontId="50" fillId="0" borderId="48" xfId="0" applyFont="1" applyBorder="1" applyAlignment="1">
      <alignment horizontal="center" vertical="center" wrapText="1"/>
    </xf>
    <xf numFmtId="0" fontId="50" fillId="0" borderId="49" xfId="0" applyFont="1" applyBorder="1" applyAlignment="1">
      <alignment horizontal="center" vertical="center" wrapText="1"/>
    </xf>
    <xf numFmtId="0" fontId="50" fillId="0" borderId="50" xfId="0" applyFont="1" applyBorder="1" applyAlignment="1">
      <alignment horizontal="center" vertical="center" wrapText="1"/>
    </xf>
    <xf numFmtId="0" fontId="51" fillId="0" borderId="51" xfId="0" applyFont="1" applyBorder="1" applyAlignment="1">
      <alignment horizontal="center"/>
    </xf>
    <xf numFmtId="0" fontId="51" fillId="0" borderId="35" xfId="0" applyFont="1" applyBorder="1" applyAlignment="1">
      <alignment horizontal="center"/>
    </xf>
    <xf numFmtId="2" fontId="62" fillId="3" borderId="4" xfId="0" applyNumberFormat="1" applyFont="1" applyFill="1" applyBorder="1" applyAlignment="1">
      <alignment horizontal="center"/>
    </xf>
    <xf numFmtId="2" fontId="61" fillId="3" borderId="28" xfId="0" applyNumberFormat="1" applyFont="1" applyFill="1" applyBorder="1" applyAlignment="1">
      <alignment horizontal="left"/>
    </xf>
    <xf numFmtId="2" fontId="61" fillId="3" borderId="87" xfId="0" applyNumberFormat="1" applyFont="1" applyFill="1" applyBorder="1" applyAlignment="1">
      <alignment horizontal="left"/>
    </xf>
    <xf numFmtId="2" fontId="61" fillId="3" borderId="29" xfId="0" applyNumberFormat="1" applyFont="1" applyFill="1" applyBorder="1" applyAlignment="1">
      <alignment horizontal="left"/>
    </xf>
    <xf numFmtId="0" fontId="29" fillId="2" borderId="4" xfId="0" applyFont="1" applyFill="1" applyBorder="1" applyAlignment="1">
      <alignment horizontal="center" vertical="center" wrapText="1"/>
    </xf>
    <xf numFmtId="0" fontId="66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77" fillId="0" borderId="4" xfId="0" applyFont="1" applyBorder="1" applyAlignment="1">
      <alignment horizontal="center"/>
    </xf>
    <xf numFmtId="0" fontId="80" fillId="0" borderId="0" xfId="0" applyFont="1" applyAlignment="1" applyProtection="1">
      <alignment horizontal="left"/>
      <protection locked="0"/>
    </xf>
    <xf numFmtId="0" fontId="77" fillId="0" borderId="87" xfId="0" applyFont="1" applyBorder="1" applyAlignment="1">
      <alignment horizontal="center" vertical="center" wrapText="1"/>
    </xf>
    <xf numFmtId="0" fontId="77" fillId="0" borderId="29" xfId="0" applyFont="1" applyBorder="1" applyAlignment="1">
      <alignment horizontal="center" vertical="center" wrapText="1"/>
    </xf>
    <xf numFmtId="0" fontId="77" fillId="0" borderId="31" xfId="0" applyFont="1" applyBorder="1" applyAlignment="1">
      <alignment horizontal="center" vertical="center" wrapText="1"/>
    </xf>
    <xf numFmtId="0" fontId="77" fillId="0" borderId="38" xfId="0" applyFont="1" applyBorder="1" applyAlignment="1">
      <alignment horizontal="center" vertical="center" wrapText="1"/>
    </xf>
    <xf numFmtId="0" fontId="77" fillId="0" borderId="51" xfId="0" applyFont="1" applyBorder="1" applyAlignment="1">
      <alignment horizontal="left"/>
    </xf>
    <xf numFmtId="0" fontId="77" fillId="0" borderId="39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0" xfId="0" applyFont="1" applyAlignment="1" applyProtection="1">
      <alignment horizontal="left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8" fillId="3" borderId="0" xfId="0" applyFont="1" applyFill="1" applyAlignment="1" applyProtection="1">
      <alignment horizontal="left"/>
      <protection locked="0"/>
    </xf>
    <xf numFmtId="0" fontId="17" fillId="3" borderId="4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/>
    </xf>
    <xf numFmtId="0" fontId="17" fillId="0" borderId="4" xfId="0" applyFont="1" applyBorder="1" applyAlignment="1" applyProtection="1">
      <alignment horizontal="right"/>
      <protection locked="0"/>
    </xf>
    <xf numFmtId="0" fontId="29" fillId="0" borderId="14" xfId="0" applyFont="1" applyBorder="1" applyAlignment="1" applyProtection="1">
      <alignment horizontal="center"/>
      <protection locked="0"/>
    </xf>
    <xf numFmtId="0" fontId="29" fillId="0" borderId="39" xfId="0" applyFont="1" applyBorder="1" applyAlignment="1" applyProtection="1">
      <alignment horizontal="center"/>
      <protection locked="0"/>
    </xf>
    <xf numFmtId="0" fontId="29" fillId="0" borderId="35" xfId="0" applyFont="1" applyBorder="1" applyAlignment="1" applyProtection="1">
      <alignment horizontal="center"/>
      <protection locked="0"/>
    </xf>
    <xf numFmtId="0" fontId="17" fillId="0" borderId="43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43" fillId="3" borderId="4" xfId="0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horizontal="center" vertical="center"/>
    </xf>
    <xf numFmtId="0" fontId="27" fillId="0" borderId="32" xfId="0" applyFont="1" applyBorder="1" applyAlignment="1" applyProtection="1">
      <alignment horizontal="left"/>
      <protection locked="0"/>
    </xf>
    <xf numFmtId="0" fontId="27" fillId="0" borderId="33" xfId="0" applyFont="1" applyBorder="1" applyAlignment="1" applyProtection="1">
      <alignment horizontal="left"/>
      <protection locked="0"/>
    </xf>
    <xf numFmtId="0" fontId="27" fillId="0" borderId="34" xfId="0" applyFont="1" applyBorder="1" applyAlignment="1" applyProtection="1">
      <alignment horizontal="left"/>
      <protection locked="0"/>
    </xf>
    <xf numFmtId="0" fontId="29" fillId="0" borderId="15" xfId="0" applyFont="1" applyBorder="1" applyAlignment="1">
      <alignment horizontal="center"/>
    </xf>
    <xf numFmtId="49" fontId="18" fillId="3" borderId="4" xfId="0" applyNumberFormat="1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8" fillId="0" borderId="31" xfId="0" applyFont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39" xfId="0" applyFont="1" applyFill="1" applyBorder="1" applyAlignment="1" applyProtection="1">
      <alignment horizontal="center" vertical="center" wrapText="1"/>
      <protection locked="0"/>
    </xf>
    <xf numFmtId="0" fontId="8" fillId="3" borderId="35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8" fillId="0" borderId="31" xfId="0" applyFont="1" applyBorder="1" applyAlignment="1" applyProtection="1">
      <alignment horizontal="center"/>
      <protection locked="0"/>
    </xf>
    <xf numFmtId="0" fontId="11" fillId="2" borderId="28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0" fillId="0" borderId="4" xfId="0" applyBorder="1" applyAlignment="1" applyProtection="1">
      <alignment vertical="top"/>
      <protection locked="0"/>
    </xf>
    <xf numFmtId="0" fontId="0" fillId="0" borderId="4" xfId="0" applyBorder="1" applyAlignment="1">
      <alignment vertical="top"/>
    </xf>
    <xf numFmtId="2" fontId="0" fillId="0" borderId="15" xfId="0" applyNumberFormat="1" applyBorder="1" applyAlignment="1" applyProtection="1">
      <alignment horizontal="center" vertical="center"/>
      <protection locked="0"/>
    </xf>
    <xf numFmtId="2" fontId="0" fillId="0" borderId="3" xfId="0" applyNumberFormat="1" applyBorder="1" applyAlignment="1" applyProtection="1">
      <alignment horizontal="center" vertical="center"/>
      <protection locked="0"/>
    </xf>
    <xf numFmtId="2" fontId="0" fillId="0" borderId="9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9" xfId="0" applyBorder="1" applyAlignment="1">
      <alignment horizontal="left" vertical="center"/>
    </xf>
    <xf numFmtId="0" fontId="17" fillId="3" borderId="60" xfId="0" applyFont="1" applyFill="1" applyBorder="1" applyAlignment="1">
      <alignment horizontal="center" vertical="center"/>
    </xf>
    <xf numFmtId="0" fontId="17" fillId="3" borderId="49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/>
    </xf>
    <xf numFmtId="0" fontId="24" fillId="0" borderId="61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4" fillId="0" borderId="1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 wrapText="1"/>
    </xf>
    <xf numFmtId="0" fontId="24" fillId="0" borderId="56" xfId="0" applyFont="1" applyBorder="1" applyAlignment="1" applyProtection="1">
      <alignment horizontal="center" vertical="center" wrapText="1"/>
      <protection locked="0"/>
    </xf>
    <xf numFmtId="0" fontId="23" fillId="0" borderId="65" xfId="0" applyFont="1" applyBorder="1" applyAlignment="1">
      <alignment horizontal="center" vertical="center"/>
    </xf>
    <xf numFmtId="0" fontId="17" fillId="3" borderId="56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57" xfId="0" applyFont="1" applyFill="1" applyBorder="1" applyAlignment="1">
      <alignment horizontal="center" vertical="center" wrapText="1"/>
    </xf>
    <xf numFmtId="0" fontId="17" fillId="3" borderId="67" xfId="0" applyFont="1" applyFill="1" applyBorder="1" applyAlignment="1">
      <alignment horizontal="center" vertical="center" wrapText="1"/>
    </xf>
    <xf numFmtId="0" fontId="17" fillId="3" borderId="66" xfId="0" applyFont="1" applyFill="1" applyBorder="1" applyAlignment="1">
      <alignment horizontal="center" vertical="center"/>
    </xf>
    <xf numFmtId="0" fontId="17" fillId="3" borderId="63" xfId="0" applyFont="1" applyFill="1" applyBorder="1" applyAlignment="1">
      <alignment horizontal="center" vertical="center"/>
    </xf>
    <xf numFmtId="0" fontId="17" fillId="3" borderId="55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62" xfId="0" applyFont="1" applyFill="1" applyBorder="1" applyAlignment="1">
      <alignment horizontal="center" vertical="center"/>
    </xf>
    <xf numFmtId="0" fontId="27" fillId="0" borderId="0" xfId="0" applyFont="1" applyAlignment="1" applyProtection="1">
      <alignment horizontal="left"/>
      <protection locked="0"/>
    </xf>
    <xf numFmtId="0" fontId="27" fillId="0" borderId="86" xfId="0" applyFont="1" applyBorder="1" applyAlignment="1" applyProtection="1">
      <alignment horizontal="left"/>
      <protection locked="0"/>
    </xf>
    <xf numFmtId="0" fontId="17" fillId="3" borderId="65" xfId="0" applyFont="1" applyFill="1" applyBorder="1" applyAlignment="1" applyProtection="1">
      <alignment horizontal="center" vertical="center"/>
      <protection locked="0"/>
    </xf>
    <xf numFmtId="0" fontId="17" fillId="3" borderId="52" xfId="0" applyFont="1" applyFill="1" applyBorder="1" applyAlignment="1" applyProtection="1">
      <alignment horizontal="center" vertical="center"/>
      <protection locked="0"/>
    </xf>
    <xf numFmtId="0" fontId="17" fillId="3" borderId="54" xfId="0" applyFont="1" applyFill="1" applyBorder="1" applyAlignment="1">
      <alignment horizontal="center" vertical="center"/>
    </xf>
    <xf numFmtId="0" fontId="17" fillId="3" borderId="5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49" fontId="18" fillId="3" borderId="56" xfId="0" applyNumberFormat="1" applyFont="1" applyFill="1" applyBorder="1" applyAlignment="1">
      <alignment horizontal="center" vertical="center"/>
    </xf>
    <xf numFmtId="49" fontId="18" fillId="3" borderId="9" xfId="0" applyNumberFormat="1" applyFont="1" applyFill="1" applyBorder="1" applyAlignment="1">
      <alignment horizontal="center" vertical="center"/>
    </xf>
    <xf numFmtId="0" fontId="19" fillId="3" borderId="56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68" fillId="3" borderId="65" xfId="0" applyFont="1" applyFill="1" applyBorder="1" applyAlignment="1">
      <alignment horizontal="center" vertical="center" wrapText="1"/>
    </xf>
    <xf numFmtId="0" fontId="68" fillId="3" borderId="64" xfId="0" applyFont="1" applyFill="1" applyBorder="1" applyAlignment="1">
      <alignment horizontal="center" vertical="center" wrapText="1"/>
    </xf>
    <xf numFmtId="0" fontId="68" fillId="3" borderId="52" xfId="0" applyFont="1" applyFill="1" applyBorder="1" applyAlignment="1">
      <alignment horizontal="center" vertical="center" wrapText="1"/>
    </xf>
    <xf numFmtId="0" fontId="68" fillId="3" borderId="60" xfId="0" applyFont="1" applyFill="1" applyBorder="1" applyAlignment="1">
      <alignment horizontal="center" vertical="center" wrapText="1"/>
    </xf>
    <xf numFmtId="0" fontId="68" fillId="3" borderId="49" xfId="0" applyFont="1" applyFill="1" applyBorder="1" applyAlignment="1">
      <alignment horizontal="center" vertical="center" wrapText="1"/>
    </xf>
    <xf numFmtId="0" fontId="68" fillId="3" borderId="50" xfId="0" applyFont="1" applyFill="1" applyBorder="1" applyAlignment="1">
      <alignment horizontal="center" vertical="center" wrapText="1"/>
    </xf>
    <xf numFmtId="0" fontId="68" fillId="3" borderId="14" xfId="0" applyFont="1" applyFill="1" applyBorder="1" applyAlignment="1">
      <alignment horizontal="center" vertical="center" wrapText="1"/>
    </xf>
    <xf numFmtId="0" fontId="68" fillId="3" borderId="39" xfId="0" applyFont="1" applyFill="1" applyBorder="1" applyAlignment="1">
      <alignment horizontal="center" vertical="center" wrapText="1"/>
    </xf>
    <xf numFmtId="0" fontId="68" fillId="3" borderId="53" xfId="0" applyFont="1" applyFill="1" applyBorder="1" applyAlignment="1">
      <alignment horizontal="center" vertical="center" wrapText="1"/>
    </xf>
    <xf numFmtId="0" fontId="34" fillId="3" borderId="65" xfId="4" applyFont="1" applyFill="1" applyBorder="1" applyAlignment="1">
      <alignment horizontal="center" vertical="center"/>
    </xf>
    <xf numFmtId="0" fontId="34" fillId="3" borderId="52" xfId="4" applyFont="1" applyFill="1" applyBorder="1" applyAlignment="1">
      <alignment horizontal="center" vertical="center"/>
    </xf>
    <xf numFmtId="0" fontId="34" fillId="3" borderId="56" xfId="4" applyFont="1" applyFill="1" applyBorder="1" applyAlignment="1">
      <alignment horizontal="center" vertical="center"/>
    </xf>
    <xf numFmtId="0" fontId="34" fillId="3" borderId="9" xfId="4" applyFont="1" applyFill="1" applyBorder="1" applyAlignment="1">
      <alignment horizontal="center" vertical="center"/>
    </xf>
    <xf numFmtId="0" fontId="41" fillId="3" borderId="60" xfId="4" applyFont="1" applyFill="1" applyBorder="1" applyAlignment="1">
      <alignment horizontal="center" vertical="center"/>
    </xf>
    <xf numFmtId="0" fontId="41" fillId="3" borderId="49" xfId="4" applyFont="1" applyFill="1" applyBorder="1" applyAlignment="1">
      <alignment horizontal="center" vertical="center"/>
    </xf>
    <xf numFmtId="0" fontId="41" fillId="3" borderId="50" xfId="4" applyFont="1" applyFill="1" applyBorder="1" applyAlignment="1">
      <alignment horizontal="center" vertical="center"/>
    </xf>
    <xf numFmtId="0" fontId="33" fillId="0" borderId="61" xfId="4" applyFont="1" applyBorder="1" applyAlignment="1">
      <alignment horizontal="center" vertical="center"/>
    </xf>
    <xf numFmtId="0" fontId="33" fillId="0" borderId="64" xfId="4" applyFont="1" applyBorder="1" applyAlignment="1">
      <alignment horizontal="center" vertical="center"/>
    </xf>
    <xf numFmtId="0" fontId="33" fillId="0" borderId="52" xfId="4" applyFont="1" applyBorder="1" applyAlignment="1">
      <alignment horizontal="center" vertical="center"/>
    </xf>
    <xf numFmtId="0" fontId="95" fillId="11" borderId="36" xfId="0" applyFont="1" applyFill="1" applyBorder="1" applyAlignment="1">
      <alignment horizontal="center"/>
    </xf>
    <xf numFmtId="0" fontId="95" fillId="11" borderId="0" xfId="0" applyFont="1" applyFill="1" applyAlignment="1">
      <alignment horizontal="center"/>
    </xf>
    <xf numFmtId="0" fontId="95" fillId="3" borderId="68" xfId="0" applyFont="1" applyFill="1" applyBorder="1" applyAlignment="1">
      <alignment horizontal="center"/>
    </xf>
    <xf numFmtId="0" fontId="0" fillId="3" borderId="69" xfId="0" applyFill="1" applyBorder="1" applyAlignment="1">
      <alignment horizontal="center"/>
    </xf>
    <xf numFmtId="0" fontId="0" fillId="3" borderId="70" xfId="0" applyFill="1" applyBorder="1" applyAlignment="1">
      <alignment horizontal="center"/>
    </xf>
    <xf numFmtId="0" fontId="95" fillId="3" borderId="31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62" fillId="0" borderId="14" xfId="0" applyFont="1" applyBorder="1" applyAlignment="1">
      <alignment horizontal="left"/>
    </xf>
    <xf numFmtId="0" fontId="62" fillId="0" borderId="39" xfId="0" applyFont="1" applyBorder="1" applyAlignment="1">
      <alignment horizontal="left"/>
    </xf>
    <xf numFmtId="0" fontId="62" fillId="0" borderId="35" xfId="0" applyFont="1" applyBorder="1" applyAlignment="1">
      <alignment horizontal="left"/>
    </xf>
    <xf numFmtId="0" fontId="86" fillId="3" borderId="14" xfId="0" applyFont="1" applyFill="1" applyBorder="1" applyAlignment="1">
      <alignment horizontal="center" vertical="center" wrapText="1"/>
    </xf>
    <xf numFmtId="0" fontId="86" fillId="3" borderId="39" xfId="0" applyFont="1" applyFill="1" applyBorder="1" applyAlignment="1">
      <alignment horizontal="center" vertical="center" wrapText="1"/>
    </xf>
    <xf numFmtId="0" fontId="86" fillId="3" borderId="35" xfId="0" applyFont="1" applyFill="1" applyBorder="1" applyAlignment="1">
      <alignment horizontal="center" vertical="center" wrapText="1"/>
    </xf>
    <xf numFmtId="0" fontId="85" fillId="3" borderId="15" xfId="0" applyFont="1" applyFill="1" applyBorder="1" applyAlignment="1">
      <alignment horizontal="center" vertical="center" wrapText="1"/>
    </xf>
    <xf numFmtId="0" fontId="85" fillId="3" borderId="9" xfId="0" applyFont="1" applyFill="1" applyBorder="1" applyAlignment="1">
      <alignment horizontal="center" vertical="center" wrapText="1"/>
    </xf>
    <xf numFmtId="0" fontId="98" fillId="0" borderId="15" xfId="0" applyFont="1" applyBorder="1" applyAlignment="1">
      <alignment horizontal="center" vertical="center" wrapText="1"/>
    </xf>
    <xf numFmtId="0" fontId="98" fillId="0" borderId="3" xfId="0" applyFont="1" applyBorder="1" applyAlignment="1">
      <alignment horizontal="center" vertical="center" wrapText="1"/>
    </xf>
    <xf numFmtId="0" fontId="98" fillId="0" borderId="9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right" vertical="center" wrapText="1"/>
    </xf>
    <xf numFmtId="0" fontId="40" fillId="0" borderId="39" xfId="0" applyFont="1" applyBorder="1" applyAlignment="1">
      <alignment horizontal="right" vertical="center" wrapText="1"/>
    </xf>
    <xf numFmtId="0" fontId="82" fillId="2" borderId="4" xfId="0" applyFont="1" applyFill="1" applyBorder="1" applyAlignment="1">
      <alignment horizontal="center" vertical="center" wrapText="1"/>
    </xf>
    <xf numFmtId="0" fontId="41" fillId="2" borderId="14" xfId="0" applyFont="1" applyFill="1" applyBorder="1" applyAlignment="1">
      <alignment horizontal="center" vertical="center" wrapText="1"/>
    </xf>
    <xf numFmtId="0" fontId="41" fillId="2" borderId="39" xfId="0" applyFont="1" applyFill="1" applyBorder="1" applyAlignment="1">
      <alignment horizontal="center" vertical="center" wrapText="1"/>
    </xf>
    <xf numFmtId="0" fontId="41" fillId="2" borderId="35" xfId="0" applyFont="1" applyFill="1" applyBorder="1" applyAlignment="1">
      <alignment horizontal="center" vertical="center" wrapText="1"/>
    </xf>
    <xf numFmtId="0" fontId="83" fillId="2" borderId="14" xfId="0" applyFont="1" applyFill="1" applyBorder="1" applyAlignment="1">
      <alignment horizontal="center"/>
    </xf>
    <xf numFmtId="0" fontId="83" fillId="2" borderId="39" xfId="0" applyFont="1" applyFill="1" applyBorder="1" applyAlignment="1">
      <alignment horizontal="center"/>
    </xf>
    <xf numFmtId="0" fontId="83" fillId="2" borderId="35" xfId="0" applyFont="1" applyFill="1" applyBorder="1" applyAlignment="1">
      <alignment horizontal="center"/>
    </xf>
    <xf numFmtId="0" fontId="62" fillId="2" borderId="4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/>
    </xf>
    <xf numFmtId="0" fontId="62" fillId="2" borderId="4" xfId="0" applyFont="1" applyFill="1" applyBorder="1" applyAlignment="1">
      <alignment horizontal="center" vertical="center" wrapText="1"/>
    </xf>
    <xf numFmtId="0" fontId="60" fillId="2" borderId="4" xfId="0" applyFont="1" applyFill="1" applyBorder="1" applyAlignment="1">
      <alignment horizontal="center" vertical="center" wrapText="1"/>
    </xf>
    <xf numFmtId="0" fontId="62" fillId="0" borderId="14" xfId="0" applyFont="1" applyBorder="1" applyAlignment="1">
      <alignment horizontal="center" vertical="center" wrapText="1"/>
    </xf>
    <xf numFmtId="0" fontId="62" fillId="0" borderId="39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right" wrapText="1"/>
    </xf>
    <xf numFmtId="0" fontId="40" fillId="0" borderId="39" xfId="0" applyFont="1" applyBorder="1" applyAlignment="1">
      <alignment horizontal="right" wrapText="1"/>
    </xf>
    <xf numFmtId="0" fontId="104" fillId="0" borderId="15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 wrapText="1"/>
    </xf>
    <xf numFmtId="0" fontId="104" fillId="0" borderId="9" xfId="0" applyFont="1" applyBorder="1" applyAlignment="1">
      <alignment horizontal="center" vertical="center" wrapText="1"/>
    </xf>
    <xf numFmtId="0" fontId="62" fillId="0" borderId="28" xfId="0" applyFont="1" applyBorder="1" applyAlignment="1">
      <alignment horizontal="left" vertical="top" wrapText="1"/>
    </xf>
    <xf numFmtId="0" fontId="62" fillId="0" borderId="87" xfId="0" applyFont="1" applyBorder="1" applyAlignment="1">
      <alignment horizontal="left" vertical="top" wrapText="1"/>
    </xf>
    <xf numFmtId="0" fontId="62" fillId="0" borderId="29" xfId="0" applyFont="1" applyBorder="1" applyAlignment="1">
      <alignment horizontal="left" vertical="top" wrapText="1"/>
    </xf>
    <xf numFmtId="0" fontId="62" fillId="0" borderId="16" xfId="0" applyFont="1" applyBorder="1" applyAlignment="1">
      <alignment horizontal="left" vertical="top" wrapText="1"/>
    </xf>
    <xf numFmtId="0" fontId="62" fillId="0" borderId="31" xfId="0" applyFont="1" applyBorder="1" applyAlignment="1">
      <alignment horizontal="left" vertical="top" wrapText="1"/>
    </xf>
    <xf numFmtId="0" fontId="62" fillId="0" borderId="38" xfId="0" applyFont="1" applyBorder="1" applyAlignment="1">
      <alignment horizontal="left" vertical="top" wrapText="1"/>
    </xf>
    <xf numFmtId="0" fontId="90" fillId="0" borderId="4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 wrapText="1"/>
    </xf>
    <xf numFmtId="0" fontId="41" fillId="0" borderId="39" xfId="0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60" fillId="2" borderId="14" xfId="0" applyFont="1" applyFill="1" applyBorder="1" applyAlignment="1">
      <alignment horizontal="center" vertical="center" wrapText="1"/>
    </xf>
    <xf numFmtId="0" fontId="60" fillId="2" borderId="39" xfId="0" applyFont="1" applyFill="1" applyBorder="1" applyAlignment="1">
      <alignment horizontal="center" vertical="center" wrapText="1"/>
    </xf>
    <xf numFmtId="0" fontId="60" fillId="2" borderId="35" xfId="0" applyFont="1" applyFill="1" applyBorder="1" applyAlignment="1">
      <alignment horizontal="center" vertical="center" wrapText="1"/>
    </xf>
    <xf numFmtId="0" fontId="88" fillId="0" borderId="4" xfId="0" applyFont="1" applyBorder="1" applyAlignment="1">
      <alignment horizontal="left" vertical="center" wrapText="1"/>
    </xf>
    <xf numFmtId="0" fontId="88" fillId="0" borderId="14" xfId="0" applyFont="1" applyBorder="1" applyAlignment="1">
      <alignment horizontal="left" vertical="center" wrapText="1"/>
    </xf>
    <xf numFmtId="0" fontId="88" fillId="0" borderId="35" xfId="0" applyFont="1" applyBorder="1" applyAlignment="1">
      <alignment horizontal="left" vertical="center" wrapText="1"/>
    </xf>
    <xf numFmtId="10" fontId="78" fillId="0" borderId="4" xfId="1" applyNumberFormat="1" applyFont="1" applyFill="1" applyBorder="1" applyAlignment="1">
      <alignment horizontal="center" vertical="center" wrapText="1"/>
    </xf>
    <xf numFmtId="10" fontId="103" fillId="0" borderId="14" xfId="1" applyNumberFormat="1" applyFont="1" applyFill="1" applyBorder="1" applyAlignment="1">
      <alignment horizontal="center" vertical="center" wrapText="1"/>
    </xf>
    <xf numFmtId="10" fontId="103" fillId="0" borderId="35" xfId="1" applyNumberFormat="1" applyFont="1" applyFill="1" applyBorder="1" applyAlignment="1">
      <alignment horizontal="center" vertical="center" wrapText="1"/>
    </xf>
    <xf numFmtId="0" fontId="40" fillId="0" borderId="35" xfId="0" applyFont="1" applyBorder="1" applyAlignment="1">
      <alignment horizontal="right" wrapText="1"/>
    </xf>
    <xf numFmtId="0" fontId="62" fillId="0" borderId="3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5" xfId="0" applyBorder="1" applyAlignment="1">
      <alignment horizontal="center"/>
    </xf>
    <xf numFmtId="0" fontId="83" fillId="0" borderId="14" xfId="0" applyFont="1" applyBorder="1" applyAlignment="1">
      <alignment horizontal="center"/>
    </xf>
    <xf numFmtId="0" fontId="83" fillId="0" borderId="39" xfId="0" applyFont="1" applyBorder="1" applyAlignment="1">
      <alignment horizontal="center"/>
    </xf>
    <xf numFmtId="0" fontId="83" fillId="0" borderId="35" xfId="0" applyFont="1" applyBorder="1" applyAlignment="1">
      <alignment horizontal="center"/>
    </xf>
    <xf numFmtId="0" fontId="62" fillId="0" borderId="28" xfId="0" applyFont="1" applyBorder="1" applyAlignment="1">
      <alignment horizontal="center" vertical="center" wrapText="1"/>
    </xf>
    <xf numFmtId="0" fontId="62" fillId="0" borderId="87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31" xfId="0" applyFont="1" applyBorder="1" applyAlignment="1">
      <alignment horizontal="center" vertical="center" wrapText="1"/>
    </xf>
    <xf numFmtId="0" fontId="62" fillId="0" borderId="38" xfId="0" applyFont="1" applyBorder="1" applyAlignment="1">
      <alignment horizontal="center" vertical="center" wrapText="1"/>
    </xf>
    <xf numFmtId="0" fontId="78" fillId="0" borderId="14" xfId="0" applyFont="1" applyBorder="1" applyAlignment="1">
      <alignment horizontal="left" wrapText="1"/>
    </xf>
    <xf numFmtId="0" fontId="78" fillId="0" borderId="39" xfId="0" applyFont="1" applyBorder="1" applyAlignment="1">
      <alignment horizontal="left" wrapText="1"/>
    </xf>
    <xf numFmtId="0" fontId="78" fillId="0" borderId="35" xfId="0" applyFont="1" applyBorder="1" applyAlignment="1">
      <alignment horizontal="left" wrapText="1"/>
    </xf>
    <xf numFmtId="0" fontId="78" fillId="0" borderId="14" xfId="0" applyFont="1" applyBorder="1" applyAlignment="1">
      <alignment horizontal="left" vertical="center" wrapText="1"/>
    </xf>
    <xf numFmtId="0" fontId="78" fillId="0" borderId="39" xfId="0" applyFont="1" applyBorder="1" applyAlignment="1">
      <alignment horizontal="left" vertical="center" wrapText="1"/>
    </xf>
    <xf numFmtId="0" fontId="78" fillId="0" borderId="35" xfId="0" applyFont="1" applyBorder="1" applyAlignment="1">
      <alignment horizontal="left" vertical="center" wrapText="1"/>
    </xf>
    <xf numFmtId="0" fontId="62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right" vertical="center" wrapText="1"/>
    </xf>
    <xf numFmtId="0" fontId="40" fillId="0" borderId="4" xfId="0" applyFont="1" applyBorder="1" applyAlignment="1">
      <alignment horizontal="right" wrapText="1"/>
    </xf>
    <xf numFmtId="0" fontId="60" fillId="0" borderId="14" xfId="0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60" fillId="0" borderId="35" xfId="0" applyFont="1" applyBorder="1" applyAlignment="1">
      <alignment horizontal="center" vertical="center"/>
    </xf>
    <xf numFmtId="0" fontId="0" fillId="0" borderId="59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90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91" xfId="0" applyBorder="1" applyAlignment="1">
      <alignment horizontal="left" vertical="top" wrapText="1"/>
    </xf>
    <xf numFmtId="0" fontId="0" fillId="0" borderId="86" xfId="0" applyBorder="1" applyAlignment="1">
      <alignment horizontal="left" vertical="top" wrapText="1"/>
    </xf>
    <xf numFmtId="0" fontId="0" fillId="0" borderId="89" xfId="0" applyBorder="1" applyAlignment="1">
      <alignment horizontal="left" vertical="top" wrapText="1"/>
    </xf>
    <xf numFmtId="0" fontId="0" fillId="0" borderId="0" xfId="0" applyAlignment="1">
      <alignment horizontal="left"/>
    </xf>
  </cellXfs>
  <cellStyles count="36">
    <cellStyle name="Dziesiętny" xfId="2" builtinId="3"/>
    <cellStyle name="Dziesiętny 2" xfId="9"/>
    <cellStyle name="Dziesiętny 2 2" xfId="13"/>
    <cellStyle name="Excel Built-in Normal" xfId="23"/>
    <cellStyle name="Hiperłącze" xfId="3" builtinId="8"/>
    <cellStyle name="Normal" xfId="12"/>
    <cellStyle name="Normalny" xfId="0" builtinId="0"/>
    <cellStyle name="Normalny 2" xfId="4"/>
    <cellStyle name="Normalny 2 2" xfId="10"/>
    <cellStyle name="Normalny 2 2 2" xfId="20"/>
    <cellStyle name="Normalny 2 2 2 2" xfId="34"/>
    <cellStyle name="Normalny 2 2 3" xfId="27"/>
    <cellStyle name="Normalny 2 3" xfId="17"/>
    <cellStyle name="Normalny 2 3 2" xfId="31"/>
    <cellStyle name="Normalny 2 4" xfId="24"/>
    <cellStyle name="Normalny 3" xfId="7"/>
    <cellStyle name="Normalny 3 2" xfId="16"/>
    <cellStyle name="Normalny 4" xfId="6"/>
    <cellStyle name="Normalny 4 2" xfId="19"/>
    <cellStyle name="Normalny 4 2 2" xfId="33"/>
    <cellStyle name="Normalny 4 3" xfId="26"/>
    <cellStyle name="Normalny 5" xfId="14"/>
    <cellStyle name="Normalny 5 2" xfId="29"/>
    <cellStyle name="Normalny 6" xfId="15"/>
    <cellStyle name="Normalny 6 2" xfId="30"/>
    <cellStyle name="Normalny 7" xfId="22"/>
    <cellStyle name="Procentowy" xfId="1" builtinId="5"/>
    <cellStyle name="Procentowy 2" xfId="5"/>
    <cellStyle name="Procentowy 2 2" xfId="11"/>
    <cellStyle name="Procentowy 2 2 2" xfId="21"/>
    <cellStyle name="Procentowy 2 2 2 2" xfId="35"/>
    <cellStyle name="Procentowy 2 2 3" xfId="28"/>
    <cellStyle name="Procentowy 2 3" xfId="18"/>
    <cellStyle name="Procentowy 2 3 2" xfId="32"/>
    <cellStyle name="Procentowy 2 4" xfId="25"/>
    <cellStyle name="Procentowy 3" xfId="8"/>
  </cellStyles>
  <dxfs count="0"/>
  <tableStyles count="0" defaultTableStyle="TableStyleMedium9" defaultPivotStyle="PivotStyleLight16"/>
  <colors>
    <mruColors>
      <color rgb="FF32D214"/>
      <color rgb="FF32C210"/>
      <color rgb="FF32F014"/>
      <color rgb="FF41E396"/>
      <color rgb="FF007800"/>
      <color rgb="FF000000"/>
      <color rgb="FF19D76F"/>
      <color rgb="FF00F000"/>
      <color rgb="FF00D200"/>
      <color rgb="FF00C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 algn="ctr">
              <a:defRPr/>
            </a:pPr>
            <a:r>
              <a:rPr lang="pl-PL" sz="1200" b="1" i="0" baseline="0">
                <a:effectLst/>
              </a:rPr>
              <a:t>Emisja zanieczyzczeń - przemysł [Mg/rok]</a:t>
            </a:r>
            <a:endParaRPr lang="pl-PL" sz="1200">
              <a:effectLst/>
            </a:endParaRPr>
          </a:p>
        </c:rich>
      </c:tx>
      <c:overlay val="1"/>
    </c:title>
    <c:plotArea>
      <c:layout>
        <c:manualLayout>
          <c:layoutTarget val="inner"/>
          <c:xMode val="edge"/>
          <c:yMode val="edge"/>
          <c:x val="5.954948211666438E-2"/>
          <c:y val="6.7230884269575186E-2"/>
          <c:w val="0.91517467740736091"/>
          <c:h val="0.82764235821236154"/>
        </c:manualLayout>
      </c:layout>
      <c:barChart>
        <c:barDir val="col"/>
        <c:grouping val="clustered"/>
        <c:ser>
          <c:idx val="0"/>
          <c:order val="0"/>
          <c:cat>
            <c:strRef>
              <c:f>'Przedsiębiorcy, przemysł'!$AQ$3:$AW$3</c:f>
              <c:strCache>
                <c:ptCount val="7"/>
                <c:pt idx="0">
                  <c:v>PM 10</c:v>
                </c:pt>
                <c:pt idx="1">
                  <c:v>PM 2,5</c:v>
                </c:pt>
                <c:pt idx="2">
                  <c:v>CO2*</c:v>
                </c:pt>
                <c:pt idx="3">
                  <c:v>BaP</c:v>
                </c:pt>
                <c:pt idx="4">
                  <c:v>S02</c:v>
                </c:pt>
                <c:pt idx="5">
                  <c:v>N0x</c:v>
                </c:pt>
                <c:pt idx="6">
                  <c:v>CO</c:v>
                </c:pt>
              </c:strCache>
            </c:strRef>
          </c:cat>
          <c:val>
            <c:numRef>
              <c:f>'Przedsiębiorcy, przemysł'!$AQ$10:$AW$10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02A-4C04-B3E0-CBF0A75D57ED}"/>
            </c:ext>
          </c:extLst>
        </c:ser>
        <c:axId val="167797504"/>
        <c:axId val="167799040"/>
      </c:barChart>
      <c:catAx>
        <c:axId val="167797504"/>
        <c:scaling>
          <c:orientation val="minMax"/>
        </c:scaling>
        <c:axPos val="b"/>
        <c:numFmt formatCode="General" sourceLinked="0"/>
        <c:tickLblPos val="nextTo"/>
        <c:crossAx val="167799040"/>
        <c:crosses val="autoZero"/>
        <c:auto val="1"/>
        <c:lblAlgn val="ctr"/>
        <c:lblOffset val="100"/>
      </c:catAx>
      <c:valAx>
        <c:axId val="167799040"/>
        <c:scaling>
          <c:orientation val="minMax"/>
        </c:scaling>
        <c:axPos val="l"/>
        <c:majorGridlines/>
        <c:numFmt formatCode="General" sourceLinked="0"/>
        <c:tickLblPos val="nextTo"/>
        <c:crossAx val="167797504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en-US" sz="1200" b="1" i="0" baseline="0">
                <a:effectLst/>
              </a:rPr>
              <a:t>Emisja zanieczyszczeń - </a:t>
            </a:r>
            <a:r>
              <a:rPr lang="pl-PL" sz="1200" b="1" i="0" baseline="0">
                <a:effectLst/>
              </a:rPr>
              <a:t>przemysł</a:t>
            </a:r>
            <a:r>
              <a:rPr lang="en-US" sz="1200" b="1" i="0" baseline="0">
                <a:effectLst/>
              </a:rPr>
              <a:t> [Mg/rok]</a:t>
            </a:r>
            <a:endParaRPr lang="pl-PL" sz="1200">
              <a:effectLst/>
            </a:endParaRPr>
          </a:p>
        </c:rich>
      </c:tx>
      <c:overlay val="1"/>
    </c:title>
    <c:plotArea>
      <c:layout/>
      <c:barChart>
        <c:barDir val="col"/>
        <c:grouping val="clustered"/>
        <c:ser>
          <c:idx val="0"/>
          <c:order val="0"/>
          <c:cat>
            <c:strRef>
              <c:f>Przemy!$Y$4:$AE$4</c:f>
              <c:strCache>
                <c:ptCount val="7"/>
                <c:pt idx="0">
                  <c:v>PM 10</c:v>
                </c:pt>
                <c:pt idx="1">
                  <c:v>PM 2,5</c:v>
                </c:pt>
                <c:pt idx="2">
                  <c:v>CO2*</c:v>
                </c:pt>
                <c:pt idx="3">
                  <c:v>BaP</c:v>
                </c:pt>
                <c:pt idx="4">
                  <c:v>S02</c:v>
                </c:pt>
                <c:pt idx="5">
                  <c:v>N0x</c:v>
                </c:pt>
                <c:pt idx="6">
                  <c:v>CO</c:v>
                </c:pt>
              </c:strCache>
            </c:strRef>
          </c:cat>
          <c:val>
            <c:numRef>
              <c:f>Przemy!$Y$14:$AE$14</c:f>
              <c:numCache>
                <c:formatCode>0.000</c:formatCode>
                <c:ptCount val="7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156-4387-B142-451C28FAF3A5}"/>
            </c:ext>
          </c:extLst>
        </c:ser>
        <c:axId val="168451072"/>
        <c:axId val="168469248"/>
      </c:barChart>
      <c:catAx>
        <c:axId val="168451072"/>
        <c:scaling>
          <c:orientation val="minMax"/>
        </c:scaling>
        <c:axPos val="b"/>
        <c:numFmt formatCode="General" sourceLinked="0"/>
        <c:tickLblPos val="nextTo"/>
        <c:crossAx val="168469248"/>
        <c:crosses val="autoZero"/>
        <c:auto val="1"/>
        <c:lblAlgn val="ctr"/>
        <c:lblOffset val="100"/>
      </c:catAx>
      <c:valAx>
        <c:axId val="168469248"/>
        <c:scaling>
          <c:orientation val="minMax"/>
        </c:scaling>
        <c:axPos val="l"/>
        <c:majorGridlines/>
        <c:numFmt formatCode="General" sourceLinked="0"/>
        <c:tickLblPos val="nextTo"/>
        <c:crossAx val="168451072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 sz="1200" b="1" i="0" baseline="0">
                <a:effectLst/>
              </a:rPr>
              <a:t>Struktura zużycia energii z poszczególnych paliw - przemysł  [GJ/rok] </a:t>
            </a:r>
            <a:endParaRPr lang="pl-PL" sz="1200">
              <a:effectLst/>
            </a:endParaRPr>
          </a:p>
        </c:rich>
      </c:tx>
      <c:overlay val="1"/>
    </c:title>
    <c:plotArea>
      <c:layout>
        <c:manualLayout>
          <c:layoutTarget val="inner"/>
          <c:xMode val="edge"/>
          <c:yMode val="edge"/>
          <c:x val="7.0054134249757399E-2"/>
          <c:y val="0.18884451909136776"/>
          <c:w val="0.53623116637232882"/>
          <c:h val="0.76677693076396769"/>
        </c:manualLayout>
      </c:layout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Val val="1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Przemy!$AG$5:$AG$11</c:f>
              <c:strCache>
                <c:ptCount val="7"/>
                <c:pt idx="0">
                  <c:v>węgiel</c:v>
                </c:pt>
                <c:pt idx="1">
                  <c:v>gaz </c:v>
                </c:pt>
                <c:pt idx="2">
                  <c:v>drewno</c:v>
                </c:pt>
                <c:pt idx="3">
                  <c:v>pelet</c:v>
                </c:pt>
                <c:pt idx="4">
                  <c:v>olej</c:v>
                </c:pt>
                <c:pt idx="5">
                  <c:v>prąd</c:v>
                </c:pt>
                <c:pt idx="6">
                  <c:v>OŹE (kolektory sloneczne)</c:v>
                </c:pt>
              </c:strCache>
            </c:strRef>
          </c:cat>
          <c:val>
            <c:numRef>
              <c:f>Przemy!$AH$5:$AH$11</c:f>
              <c:numCache>
                <c:formatCode>_-* #,##0\ _z_ł_-;\-* #,##0\ _z_ł_-;_-* "-"??\ _z_ł_-;_-@_-</c:formatCode>
                <c:ptCount val="7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9BB-4C15-A79B-34AF28E8DF9F}"/>
            </c:ext>
          </c:extLst>
        </c:ser>
        <c:firstSliceAng val="0"/>
      </c:pieChart>
    </c:plotArea>
    <c:legend>
      <c:legendPos val="r"/>
      <c:txPr>
        <a:bodyPr/>
        <a:lstStyle/>
        <a:p>
          <a:pPr rtl="0">
            <a:defRPr/>
          </a:pPr>
          <a:endParaRPr lang="pl-PL"/>
        </a:p>
      </c:txPr>
    </c:legend>
    <c:plotVisOnly val="1"/>
    <c:dispBlanksAs val="zero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33131</xdr:colOff>
      <xdr:row>9</xdr:row>
      <xdr:rowOff>82826</xdr:rowOff>
    </xdr:from>
    <xdr:to>
      <xdr:col>22</xdr:col>
      <xdr:colOff>281609</xdr:colOff>
      <xdr:row>30</xdr:row>
      <xdr:rowOff>82826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89647</xdr:colOff>
      <xdr:row>15</xdr:row>
      <xdr:rowOff>33618</xdr:rowOff>
    </xdr:from>
    <xdr:to>
      <xdr:col>27</xdr:col>
      <xdr:colOff>162804</xdr:colOff>
      <xdr:row>27</xdr:row>
      <xdr:rowOff>149158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22412</xdr:colOff>
      <xdr:row>15</xdr:row>
      <xdr:rowOff>22412</xdr:rowOff>
    </xdr:from>
    <xdr:to>
      <xdr:col>33</xdr:col>
      <xdr:colOff>758799</xdr:colOff>
      <xdr:row>32</xdr:row>
      <xdr:rowOff>31377</xdr:rowOff>
    </xdr:to>
    <xdr:graphicFrame macro="">
      <xdr:nvGraphicFramePr>
        <xdr:cNvPr id="3" name="Wykres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GSINSPACE\Sucha%20Beskidzka\Miasto%20Jordan&#243;w\Baza%20Jordan&#243;w\Aktualna%20BAZA%20Miasto%20Jordan&#243;w\1.BAZA%20DANYCH%20Gmina%20Miasto%20Jordan&#243;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GSINSPACE\Go&#322;cza\BAZA\GOTOWA%20BAZA%20i%20EFEKT\Baza%20inwentaryzacji%20emisji%20(BEI)%20-Gmina%20Go&#322;cza%20-%20Kopi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GSINSPACE\Tomice\BAZA\Baza%20inwentaryzacji%20emisji%20(BEI)%20-Gmina%20Tomi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GSINSPACE\Go&#322;cza\BAZA\GOTOWA%20BAZA%20i%20EFEKT\Baza%20inwentaryzacji%20emisji%20(BEI)%20-Gmina%20Go&#322;cz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GSINSPACE\Lord%20Vader\&#346;wiercze%20PGN\obliczenia\BEI%20Trzcian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misja"/>
      <sheetName val="Założenia,wskaźniki, listy"/>
      <sheetName val="Budynki komunalne "/>
      <sheetName val="emisja Budynki komunalne"/>
      <sheetName val="Oświetlenie uliczne"/>
      <sheetName val=" Wielorodzinne baza"/>
      <sheetName val="Wielorodz.emisja"/>
      <sheetName val="Mieszkalne baza"/>
      <sheetName val="Mieszkalne emisja"/>
      <sheetName val="Przedsiębiorcy, przemysł"/>
      <sheetName val="Przemysł"/>
      <sheetName val="Budynki usł.-użytk."/>
      <sheetName val="Transport"/>
      <sheetName val="Energia łącznie"/>
      <sheetName val="Paliwa łącznie"/>
      <sheetName val="Łączna emisja"/>
      <sheetName val="Arkusz1"/>
      <sheetName val="Założenia,wskaźniki,_listy"/>
      <sheetName val="Budynki_komunalne_"/>
      <sheetName val="emisja_Budynki_komunalne"/>
      <sheetName val="Oświetlenie_uliczne"/>
      <sheetName val="_Wielorodzinne_baza"/>
      <sheetName val="Wielorodz_emisja"/>
      <sheetName val="Mieszkalne_baza"/>
      <sheetName val="Mieszkalne_emisja"/>
      <sheetName val="Przedsiębiorcy,_przemysł"/>
      <sheetName val="Budynki_usł_-użytk_"/>
      <sheetName val="Energia_łącznie"/>
      <sheetName val="Paliwa_łącznie"/>
      <sheetName val="Łączna_emisj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misja"/>
      <sheetName val="Z"/>
      <sheetName val="Założenia,wskaźniki, listy"/>
      <sheetName val="Budynki komunalne "/>
      <sheetName val="emisja Budynki komunalne"/>
      <sheetName val="Oświetlenie uliczne"/>
      <sheetName val="Mieszkalne baza"/>
      <sheetName val="Mieszkalne emisja"/>
      <sheetName val="Przemysł"/>
      <sheetName val="Przedsiębiorcy, przemysł"/>
      <sheetName val="Przemy"/>
      <sheetName val="Budynki usł.-użytk."/>
      <sheetName val="Transport"/>
      <sheetName val="Energia łącznie"/>
      <sheetName val="Paliwa łącznie"/>
      <sheetName val="Łączna emisja"/>
      <sheetName val="Arkusz1"/>
      <sheetName val="Założenia,wskaźniki,_listy"/>
      <sheetName val="Budynki_komunalne_"/>
      <sheetName val="emisja_Budynki_komunalne"/>
      <sheetName val="Oświetlenie_uliczne"/>
      <sheetName val="Mieszkalne_baza"/>
      <sheetName val="Mieszkalne_emisja"/>
      <sheetName val="Przedsiębiorcy,_przemysł"/>
      <sheetName val="Budynki_usł_-użytk_"/>
      <sheetName val="Energia_łącznie"/>
      <sheetName val="Paliwa_łącznie"/>
      <sheetName val="Łączna_emisja"/>
    </sheetNames>
    <sheetDataSet>
      <sheetData sheetId="0"/>
      <sheetData sheetId="1">
        <row r="44">
          <cell r="C44">
            <v>1.9000000000000001E-4</v>
          </cell>
          <cell r="D44">
            <v>4.9999999999999998E-7</v>
          </cell>
          <cell r="E44">
            <v>7.6000000000000004E-5</v>
          </cell>
          <cell r="F44">
            <v>7.6000000000000004E-5</v>
          </cell>
          <cell r="G44">
            <v>3.0000000000000001E-6</v>
          </cell>
        </row>
        <row r="45">
          <cell r="C45">
            <v>1.7000000000000001E-4</v>
          </cell>
          <cell r="D45">
            <v>4.9999999999999998E-7</v>
          </cell>
          <cell r="E45">
            <v>7.6000000000000004E-5</v>
          </cell>
          <cell r="F45">
            <v>7.6000000000000004E-5</v>
          </cell>
          <cell r="G45">
            <v>3.0000000000000001E-6</v>
          </cell>
        </row>
        <row r="46">
          <cell r="C46">
            <v>9.373999999999999E-2</v>
          </cell>
          <cell r="D46">
            <v>5.5820000000000002E-2</v>
          </cell>
          <cell r="E46">
            <v>0</v>
          </cell>
          <cell r="F46">
            <v>0</v>
          </cell>
          <cell r="G46">
            <v>7.6590000000000005E-2</v>
          </cell>
        </row>
        <row r="47">
          <cell r="C47">
            <v>9.9999999999999995E-8</v>
          </cell>
          <cell r="D47">
            <v>0</v>
          </cell>
          <cell r="E47">
            <v>4.9999999999999998E-8</v>
          </cell>
          <cell r="F47">
            <v>4.9999999999999998E-8</v>
          </cell>
          <cell r="G47">
            <v>1E-8</v>
          </cell>
        </row>
        <row r="48">
          <cell r="C48">
            <v>8.9999999999999998E-4</v>
          </cell>
          <cell r="D48">
            <v>4.9999999999999998E-7</v>
          </cell>
          <cell r="E48">
            <v>2.0000000000000002E-5</v>
          </cell>
          <cell r="F48">
            <v>2.0000000000000002E-5</v>
          </cell>
          <cell r="G48">
            <v>1.3999999999999999E-4</v>
          </cell>
        </row>
        <row r="49">
          <cell r="C49">
            <v>1.6000000000000001E-4</v>
          </cell>
          <cell r="D49">
            <v>6.9999999999999994E-5</v>
          </cell>
          <cell r="E49">
            <v>2.0000000000000002E-5</v>
          </cell>
          <cell r="F49">
            <v>2.0000000000000002E-5</v>
          </cell>
          <cell r="G49">
            <v>6.9999999999999994E-5</v>
          </cell>
        </row>
        <row r="50">
          <cell r="C50">
            <v>2.0116227089852479E-3</v>
          </cell>
          <cell r="D50">
            <v>7.5000000000000002E-6</v>
          </cell>
          <cell r="E50">
            <v>1.794E-4</v>
          </cell>
          <cell r="F50">
            <v>1.794E-4</v>
          </cell>
          <cell r="G50">
            <v>1.625355393043083E-5</v>
          </cell>
        </row>
      </sheetData>
      <sheetData sheetId="2">
        <row r="4">
          <cell r="B4">
            <v>22.63</v>
          </cell>
          <cell r="H4">
            <v>290</v>
          </cell>
        </row>
        <row r="5">
          <cell r="B5">
            <v>4.0035600000000005E-2</v>
          </cell>
          <cell r="H5">
            <v>250</v>
          </cell>
        </row>
        <row r="6">
          <cell r="B6">
            <v>15</v>
          </cell>
          <cell r="H6">
            <v>175</v>
          </cell>
        </row>
        <row r="7">
          <cell r="B7">
            <v>18</v>
          </cell>
          <cell r="H7">
            <v>130</v>
          </cell>
        </row>
        <row r="8">
          <cell r="B8">
            <v>34.563399999999994</v>
          </cell>
          <cell r="H8">
            <v>115</v>
          </cell>
        </row>
        <row r="13">
          <cell r="H13">
            <v>0.6</v>
          </cell>
        </row>
        <row r="14">
          <cell r="H14">
            <v>0.8</v>
          </cell>
        </row>
        <row r="15">
          <cell r="H15">
            <v>1</v>
          </cell>
        </row>
        <row r="16">
          <cell r="L16">
            <v>0.40260138750000002</v>
          </cell>
        </row>
        <row r="44">
          <cell r="C44">
            <v>2.2499999999999999E-4</v>
          </cell>
          <cell r="D44">
            <v>4.9999999999999998E-7</v>
          </cell>
          <cell r="E44">
            <v>4.8000000000000001E-4</v>
          </cell>
          <cell r="F44">
            <v>4.8000000000000001E-4</v>
          </cell>
          <cell r="G44">
            <v>3.0000000000000001E-6</v>
          </cell>
        </row>
        <row r="45">
          <cell r="C45">
            <v>2.0100000000000001E-4</v>
          </cell>
          <cell r="D45">
            <v>4.9999999999999998E-7</v>
          </cell>
          <cell r="E45">
            <v>4.6999999999999999E-4</v>
          </cell>
          <cell r="F45">
            <v>4.6999999999999999E-4</v>
          </cell>
          <cell r="G45">
            <v>3.0000000000000001E-6</v>
          </cell>
        </row>
        <row r="46">
          <cell r="C46">
            <v>9.373999999999999E-2</v>
          </cell>
          <cell r="D46">
            <v>5.5820000000000002E-2</v>
          </cell>
          <cell r="E46">
            <v>0</v>
          </cell>
          <cell r="F46">
            <v>0</v>
          </cell>
          <cell r="G46">
            <v>7.6590000000000005E-2</v>
          </cell>
        </row>
        <row r="47">
          <cell r="C47">
            <v>2.7000000000000001E-7</v>
          </cell>
          <cell r="D47">
            <v>0</v>
          </cell>
          <cell r="E47">
            <v>1.2100000000000001E-7</v>
          </cell>
          <cell r="F47">
            <v>1.2100000000000001E-7</v>
          </cell>
          <cell r="G47">
            <v>1E-8</v>
          </cell>
        </row>
        <row r="48">
          <cell r="C48">
            <v>8.9999999999999998E-4</v>
          </cell>
          <cell r="D48">
            <v>4.9999999999999998E-7</v>
          </cell>
          <cell r="E48">
            <v>1.1E-5</v>
          </cell>
          <cell r="F48">
            <v>1.1E-5</v>
          </cell>
          <cell r="G48">
            <v>1.3999999999999999E-4</v>
          </cell>
        </row>
        <row r="49">
          <cell r="C49">
            <v>1.5799999999999999E-4</v>
          </cell>
          <cell r="D49">
            <v>5.0000000000000002E-5</v>
          </cell>
          <cell r="E49">
            <v>8.0000000000000007E-5</v>
          </cell>
          <cell r="F49">
            <v>8.0000000000000007E-5</v>
          </cell>
          <cell r="G49">
            <v>6.9999999999999994E-5</v>
          </cell>
        </row>
        <row r="50">
          <cell r="C50">
            <v>2.0116227089852479E-3</v>
          </cell>
          <cell r="D50">
            <v>7.5000000000000002E-6</v>
          </cell>
          <cell r="E50">
            <v>1.794E-4</v>
          </cell>
          <cell r="F50">
            <v>1.794E-4</v>
          </cell>
          <cell r="G50">
            <v>1.625355393043083E-5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B4">
            <v>22.63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misja"/>
      <sheetName val="Z"/>
      <sheetName val="Założenia,wskaźniki, listy"/>
      <sheetName val="Budynki komunalne "/>
      <sheetName val="emisja Budynki komunalne"/>
      <sheetName val="Oświetlenie uliczne"/>
      <sheetName val="Mieszkalne baza"/>
      <sheetName val="Mieszkalne emisja"/>
      <sheetName val="Przedsiębiorcy, przemysł"/>
      <sheetName val="Przemy"/>
      <sheetName val="Budynki usł.-użytk."/>
      <sheetName val="Przemysł"/>
      <sheetName val="Arkusz2"/>
      <sheetName val="Transport"/>
      <sheetName val="Energia łącznie"/>
      <sheetName val="Paliwa łącznie"/>
      <sheetName val="Łączna emisja"/>
      <sheetName val="Arkusz1"/>
      <sheetName val="Założenia,wskaźniki,_listy"/>
      <sheetName val="Budynki_komunalne_"/>
      <sheetName val="emisja_Budynki_komunalne"/>
      <sheetName val="Oświetlenie_uliczne"/>
      <sheetName val="Mieszkalne_baza"/>
      <sheetName val="Mieszkalne_emisja"/>
      <sheetName val="Przedsiębiorcy,_przemysł"/>
      <sheetName val="Budynki_usł_-użytk_"/>
      <sheetName val="Energia_łącznie"/>
      <sheetName val="Paliwa_łącznie"/>
      <sheetName val="Łączna_emisja"/>
    </sheetNames>
    <sheetDataSet>
      <sheetData sheetId="0" refreshError="1"/>
      <sheetData sheetId="1" refreshError="1"/>
      <sheetData sheetId="2">
        <row r="4">
          <cell r="B4">
            <v>22.63</v>
          </cell>
        </row>
        <row r="5">
          <cell r="B5">
            <v>4.0035600000000005E-2</v>
          </cell>
        </row>
        <row r="6">
          <cell r="B6">
            <v>15</v>
          </cell>
        </row>
        <row r="7">
          <cell r="B7">
            <v>18</v>
          </cell>
        </row>
        <row r="8">
          <cell r="B8">
            <v>34.563399999999994</v>
          </cell>
        </row>
        <row r="16">
          <cell r="L16">
            <v>0.40260138750000002</v>
          </cell>
        </row>
        <row r="44">
          <cell r="C44">
            <v>2.2499999999999999E-4</v>
          </cell>
          <cell r="D44">
            <v>4.9999999999999998E-7</v>
          </cell>
          <cell r="E44">
            <v>4.8000000000000001E-4</v>
          </cell>
          <cell r="F44">
            <v>4.8000000000000001E-4</v>
          </cell>
          <cell r="G44">
            <v>3.0000000000000001E-6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">
          <cell r="B4">
            <v>22.63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emisja"/>
      <sheetName val="Z"/>
      <sheetName val="Założenia,wskaźniki, listy"/>
      <sheetName val="Budynki komunalne "/>
      <sheetName val="emisja Budynki komunalne"/>
      <sheetName val="Oświetlenie uliczne"/>
      <sheetName val="Mieszkalne baza"/>
      <sheetName val="Mieszkalne emisja"/>
      <sheetName val="Przemysł"/>
      <sheetName val="Przedsiębiorcy, przemysł"/>
      <sheetName val="Przemy"/>
      <sheetName val="Budynki usł.-użytk."/>
      <sheetName val="Transport"/>
      <sheetName val="Energia łącznie"/>
      <sheetName val="Paliwa łącznie"/>
      <sheetName val="Łączna emisja"/>
      <sheetName val="Arkusz1"/>
      <sheetName val="Założenia,wskaźniki,_listy"/>
      <sheetName val="Budynki_komunalne_"/>
      <sheetName val="emisja_Budynki_komunalne"/>
      <sheetName val="Oświetlenie_uliczne"/>
      <sheetName val="Mieszkalne_baza"/>
      <sheetName val="Mieszkalne_emisja"/>
      <sheetName val="Przedsiębiorcy,_przemysł"/>
      <sheetName val="Budynki_usł_-użytk_"/>
      <sheetName val="Energia_łącznie"/>
      <sheetName val="Paliwa_łącznie"/>
      <sheetName val="Łączna_emisja"/>
    </sheetNames>
    <sheetDataSet>
      <sheetData sheetId="0" refreshError="1"/>
      <sheetData sheetId="1" refreshError="1"/>
      <sheetData sheetId="2">
        <row r="45">
          <cell r="C45">
            <v>2.0100000000000001E-4</v>
          </cell>
          <cell r="D45">
            <v>4.9999999999999998E-7</v>
          </cell>
          <cell r="E45">
            <v>4.6999999999999999E-4</v>
          </cell>
          <cell r="F45">
            <v>4.6999999999999999E-4</v>
          </cell>
          <cell r="G45">
            <v>3.0000000000000001E-6</v>
          </cell>
        </row>
        <row r="46">
          <cell r="C46">
            <v>9.373999999999999E-2</v>
          </cell>
          <cell r="D46">
            <v>5.5820000000000002E-2</v>
          </cell>
          <cell r="E46">
            <v>0</v>
          </cell>
          <cell r="F46">
            <v>0</v>
          </cell>
          <cell r="G46">
            <v>7.6590000000000005E-2</v>
          </cell>
        </row>
        <row r="47">
          <cell r="C47">
            <v>2.7000000000000001E-7</v>
          </cell>
          <cell r="D47">
            <v>0</v>
          </cell>
          <cell r="E47">
            <v>1.2100000000000001E-7</v>
          </cell>
          <cell r="F47">
            <v>1.2100000000000001E-7</v>
          </cell>
          <cell r="G47">
            <v>1E-8</v>
          </cell>
        </row>
        <row r="48">
          <cell r="C48">
            <v>8.9999999999999998E-4</v>
          </cell>
          <cell r="D48">
            <v>4.9999999999999998E-7</v>
          </cell>
          <cell r="E48">
            <v>1.1E-5</v>
          </cell>
          <cell r="F48">
            <v>1.1E-5</v>
          </cell>
          <cell r="G48">
            <v>1.3999999999999999E-4</v>
          </cell>
        </row>
        <row r="49">
          <cell r="C49">
            <v>1.5799999999999999E-4</v>
          </cell>
          <cell r="D49">
            <v>5.0000000000000002E-5</v>
          </cell>
          <cell r="E49">
            <v>8.0000000000000007E-5</v>
          </cell>
          <cell r="F49">
            <v>8.0000000000000007E-5</v>
          </cell>
          <cell r="G49">
            <v>6.9999999999999994E-5</v>
          </cell>
        </row>
        <row r="50">
          <cell r="C50">
            <v>2.0116227089852479E-3</v>
          </cell>
          <cell r="D50">
            <v>7.5000000000000002E-6</v>
          </cell>
          <cell r="E50">
            <v>1.794E-4</v>
          </cell>
          <cell r="F50">
            <v>1.794E-4</v>
          </cell>
          <cell r="G50">
            <v>1.625355393043083E-5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45">
          <cell r="C45">
            <v>2.0100000000000001E-4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Wskażniki WIOŚ 2018"/>
      <sheetName val="Założenia,wskaźniki, listy"/>
      <sheetName val="Budynki komunalne - baza "/>
      <sheetName val="Budynki komunalne - emisja"/>
      <sheetName val="Mieszk. wielorodz. - baza"/>
      <sheetName val="Mieszk. wielorodz. - emisja"/>
      <sheetName val="Oświetlenie uliczne"/>
      <sheetName val="Mieszkalnictwo - baza"/>
      <sheetName val="Mieszkalnictwo - emisja"/>
      <sheetName val="Budynki działalność gospodarcza"/>
      <sheetName val="Przedsiębiorcy, przemysł"/>
      <sheetName val="Transport - emisja"/>
      <sheetName val="Energia łącznie"/>
      <sheetName val="Struktura paliw łącznie"/>
      <sheetName val="Łączna emisja"/>
      <sheetName val="Efekt ekologiczny"/>
      <sheetName val="Prezentacja wyników - MWh"/>
      <sheetName val="Prezentacja wyników - CO2"/>
      <sheetName val="Wskażniki_WIOŚ_2018"/>
      <sheetName val="Założenia,wskaźniki,_listy"/>
      <sheetName val="Budynki_komunalne_-_baza_"/>
      <sheetName val="Budynki_komunalne_-_emisja"/>
      <sheetName val="Mieszk__wielorodz__-_baza"/>
      <sheetName val="Mieszk__wielorodz__-_emisja"/>
      <sheetName val="Oświetlenie_uliczne"/>
      <sheetName val="Mieszkalnictwo_-_baza"/>
      <sheetName val="Mieszkalnictwo_-_emisja"/>
      <sheetName val="Budynki_działalność_gospodarcza"/>
      <sheetName val="Przedsiębiorcy,_przemysł"/>
      <sheetName val="Transport_-_emisja"/>
      <sheetName val="Energia_łącznie"/>
      <sheetName val="Struktura_paliw_łącznie"/>
      <sheetName val="Łączna_emisja"/>
      <sheetName val="Efekt_ekologiczny"/>
      <sheetName val="Prezentacja_wyników_-_MWh"/>
      <sheetName val="Prezentacja_wyników_-_C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0">
          <cell r="H30">
            <v>588310.79999999993</v>
          </cell>
        </row>
      </sheetData>
      <sheetData sheetId="12"/>
      <sheetData sheetId="13"/>
      <sheetData sheetId="14">
        <row r="10">
          <cell r="F10">
            <v>9.5541408035599993E-6</v>
          </cell>
          <cell r="G10">
            <v>2.6462135977599999E-2</v>
          </cell>
          <cell r="H10">
            <v>13.439977756616999</v>
          </cell>
          <cell r="I10">
            <v>85.270107759459009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0">
          <cell r="H30">
            <v>588310.79999999993</v>
          </cell>
        </row>
      </sheetData>
      <sheetData sheetId="30"/>
      <sheetData sheetId="31"/>
      <sheetData sheetId="32">
        <row r="10">
          <cell r="F10">
            <v>9.5541408035599993E-6</v>
          </cell>
        </row>
      </sheetData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5"/>
  <dimension ref="A1:H40"/>
  <sheetViews>
    <sheetView workbookViewId="0">
      <selection activeCell="F36" sqref="F36"/>
    </sheetView>
  </sheetViews>
  <sheetFormatPr defaultRowHeight="14.25"/>
  <cols>
    <col min="1" max="1" width="17.75" bestFit="1" customWidth="1"/>
    <col min="2" max="2" width="18.875" bestFit="1" customWidth="1"/>
    <col min="3" max="3" width="9.5" style="6" bestFit="1" customWidth="1"/>
    <col min="4" max="5" width="14" style="6" bestFit="1" customWidth="1"/>
    <col min="6" max="6" width="11.625" bestFit="1" customWidth="1"/>
    <col min="7" max="7" width="12" customWidth="1"/>
    <col min="8" max="8" width="6.25" customWidth="1"/>
  </cols>
  <sheetData>
    <row r="1" spans="1:8" s="1" customFormat="1" ht="46.5" thickTop="1" thickBot="1">
      <c r="A1" s="13" t="s">
        <v>14</v>
      </c>
      <c r="B1" s="14" t="s">
        <v>15</v>
      </c>
      <c r="C1" s="14" t="s">
        <v>18</v>
      </c>
      <c r="D1" s="14" t="s">
        <v>16</v>
      </c>
      <c r="E1" s="14" t="s">
        <v>17</v>
      </c>
      <c r="F1" s="21" t="s">
        <v>19</v>
      </c>
      <c r="G1" s="667" t="s">
        <v>12</v>
      </c>
      <c r="H1" s="668"/>
    </row>
    <row r="2" spans="1:8" ht="15" thickTop="1">
      <c r="A2" s="669" t="s">
        <v>2</v>
      </c>
      <c r="B2" s="5" t="s">
        <v>6</v>
      </c>
      <c r="C2" s="11" t="e">
        <f>SUMIFS(#REF!,#REF!,$A$2,#REF!,B2)</f>
        <v>#REF!</v>
      </c>
      <c r="D2" s="675" t="e">
        <f>#REF!</f>
        <v>#REF!</v>
      </c>
      <c r="E2" s="18" t="e">
        <f>C2*$D$2</f>
        <v>#REF!</v>
      </c>
      <c r="F2" s="15" t="e">
        <f>#REF!</f>
        <v>#REF!</v>
      </c>
      <c r="G2" s="12" t="e">
        <f>E2*F2/1000</f>
        <v>#REF!</v>
      </c>
      <c r="H2" s="663" t="e">
        <f>SUM(G2:G8)</f>
        <v>#REF!</v>
      </c>
    </row>
    <row r="3" spans="1:8">
      <c r="A3" s="670"/>
      <c r="B3" s="3" t="s">
        <v>7</v>
      </c>
      <c r="C3" s="11" t="e">
        <f>SUMIFS(#REF!,#REF!,$A$2,#REF!,B3)</f>
        <v>#REF!</v>
      </c>
      <c r="D3" s="676"/>
      <c r="E3" s="18" t="e">
        <f t="shared" ref="E3:E8" si="0">C3*$D$2</f>
        <v>#REF!</v>
      </c>
      <c r="F3" s="16" t="e">
        <f>#REF!</f>
        <v>#REF!</v>
      </c>
      <c r="G3" s="9" t="e">
        <f t="shared" ref="G3:G29" si="1">E3*F3/1000</f>
        <v>#REF!</v>
      </c>
      <c r="H3" s="664"/>
    </row>
    <row r="4" spans="1:8">
      <c r="A4" s="670"/>
      <c r="B4" s="3" t="s">
        <v>8</v>
      </c>
      <c r="C4" s="11" t="e">
        <f>SUMIFS(#REF!,#REF!,$A$2,#REF!,B4)</f>
        <v>#REF!</v>
      </c>
      <c r="D4" s="676"/>
      <c r="E4" s="18" t="e">
        <f t="shared" si="0"/>
        <v>#REF!</v>
      </c>
      <c r="F4" s="16" t="e">
        <f>#REF!</f>
        <v>#REF!</v>
      </c>
      <c r="G4" s="9" t="e">
        <f t="shared" si="1"/>
        <v>#REF!</v>
      </c>
      <c r="H4" s="664"/>
    </row>
    <row r="5" spans="1:8">
      <c r="A5" s="670"/>
      <c r="B5" s="3" t="s">
        <v>9</v>
      </c>
      <c r="C5" s="11" t="e">
        <f>SUMIFS(#REF!,#REF!,$A$2,#REF!,B5)</f>
        <v>#REF!</v>
      </c>
      <c r="D5" s="676"/>
      <c r="E5" s="18" t="e">
        <f t="shared" si="0"/>
        <v>#REF!</v>
      </c>
      <c r="F5" s="16" t="e">
        <f>#REF!</f>
        <v>#REF!</v>
      </c>
      <c r="G5" s="9" t="e">
        <f t="shared" si="1"/>
        <v>#REF!</v>
      </c>
      <c r="H5" s="664"/>
    </row>
    <row r="6" spans="1:8">
      <c r="A6" s="670"/>
      <c r="B6" s="3" t="s">
        <v>11</v>
      </c>
      <c r="C6" s="11" t="e">
        <f>SUMIFS(#REF!,#REF!,$A$2,#REF!,B6)</f>
        <v>#REF!</v>
      </c>
      <c r="D6" s="676"/>
      <c r="E6" s="18" t="e">
        <f t="shared" si="0"/>
        <v>#REF!</v>
      </c>
      <c r="F6" s="16" t="e">
        <f>#REF!</f>
        <v>#REF!</v>
      </c>
      <c r="G6" s="9" t="e">
        <f t="shared" si="1"/>
        <v>#REF!</v>
      </c>
      <c r="H6" s="664"/>
    </row>
    <row r="7" spans="1:8">
      <c r="A7" s="670"/>
      <c r="B7" s="3" t="s">
        <v>10</v>
      </c>
      <c r="C7" s="11" t="e">
        <f>SUMIFS(#REF!,#REF!,$A$2,#REF!,B7)</f>
        <v>#REF!</v>
      </c>
      <c r="D7" s="676"/>
      <c r="E7" s="18" t="e">
        <f t="shared" si="0"/>
        <v>#REF!</v>
      </c>
      <c r="F7" s="16" t="e">
        <f>#REF!</f>
        <v>#REF!</v>
      </c>
      <c r="G7" s="9" t="e">
        <f t="shared" si="1"/>
        <v>#REF!</v>
      </c>
      <c r="H7" s="664"/>
    </row>
    <row r="8" spans="1:8">
      <c r="A8" s="671"/>
      <c r="B8" s="3" t="s">
        <v>13</v>
      </c>
      <c r="C8" s="11" t="e">
        <f>SUMIFS(#REF!,#REF!,$A$2,#REF!,B8)</f>
        <v>#REF!</v>
      </c>
      <c r="D8" s="677"/>
      <c r="E8" s="18" t="e">
        <f t="shared" si="0"/>
        <v>#REF!</v>
      </c>
      <c r="F8" s="16" t="e">
        <f>#REF!</f>
        <v>#REF!</v>
      </c>
      <c r="G8" s="9" t="e">
        <f t="shared" si="1"/>
        <v>#REF!</v>
      </c>
      <c r="H8" s="664"/>
    </row>
    <row r="9" spans="1:8">
      <c r="A9" s="672" t="s">
        <v>3</v>
      </c>
      <c r="B9" s="3" t="s">
        <v>6</v>
      </c>
      <c r="C9" s="11" t="e">
        <f>SUMIFS(#REF!,#REF!,$A$9,#REF!,B9)</f>
        <v>#REF!</v>
      </c>
      <c r="D9" s="678" t="e">
        <f>#REF!</f>
        <v>#REF!</v>
      </c>
      <c r="E9" s="19" t="e">
        <f>C9*$D$9</f>
        <v>#REF!</v>
      </c>
      <c r="F9" s="15" t="e">
        <f>#REF!</f>
        <v>#REF!</v>
      </c>
      <c r="G9" s="9" t="e">
        <f t="shared" si="1"/>
        <v>#REF!</v>
      </c>
      <c r="H9" s="664" t="e">
        <f>SUM(G9:G15)</f>
        <v>#REF!</v>
      </c>
    </row>
    <row r="10" spans="1:8">
      <c r="A10" s="670"/>
      <c r="B10" s="3" t="s">
        <v>7</v>
      </c>
      <c r="C10" s="11" t="e">
        <f>SUMIFS(#REF!,#REF!,$A$9,#REF!,B10)</f>
        <v>#REF!</v>
      </c>
      <c r="D10" s="676"/>
      <c r="E10" s="19" t="e">
        <f t="shared" ref="E10:E15" si="2">C10*$D$9</f>
        <v>#REF!</v>
      </c>
      <c r="F10" s="16" t="e">
        <f>#REF!</f>
        <v>#REF!</v>
      </c>
      <c r="G10" s="9" t="e">
        <f t="shared" si="1"/>
        <v>#REF!</v>
      </c>
      <c r="H10" s="664"/>
    </row>
    <row r="11" spans="1:8">
      <c r="A11" s="670"/>
      <c r="B11" s="3" t="s">
        <v>8</v>
      </c>
      <c r="C11" s="11" t="e">
        <f>SUMIFS(#REF!,#REF!,$A$9,#REF!,B11)</f>
        <v>#REF!</v>
      </c>
      <c r="D11" s="676"/>
      <c r="E11" s="19" t="e">
        <f t="shared" si="2"/>
        <v>#REF!</v>
      </c>
      <c r="F11" s="16" t="e">
        <f>#REF!</f>
        <v>#REF!</v>
      </c>
      <c r="G11" s="9" t="e">
        <f t="shared" si="1"/>
        <v>#REF!</v>
      </c>
      <c r="H11" s="664"/>
    </row>
    <row r="12" spans="1:8">
      <c r="A12" s="670"/>
      <c r="B12" s="3" t="s">
        <v>9</v>
      </c>
      <c r="C12" s="11" t="e">
        <f>SUMIFS(#REF!,#REF!,$A$9,#REF!,B12)</f>
        <v>#REF!</v>
      </c>
      <c r="D12" s="676"/>
      <c r="E12" s="19" t="e">
        <f t="shared" si="2"/>
        <v>#REF!</v>
      </c>
      <c r="F12" s="16" t="e">
        <f>#REF!</f>
        <v>#REF!</v>
      </c>
      <c r="G12" s="9" t="e">
        <f t="shared" si="1"/>
        <v>#REF!</v>
      </c>
      <c r="H12" s="664"/>
    </row>
    <row r="13" spans="1:8">
      <c r="A13" s="670"/>
      <c r="B13" s="3" t="s">
        <v>11</v>
      </c>
      <c r="C13" s="11" t="e">
        <f>SUMIFS(#REF!,#REF!,$A$9,#REF!,B13)</f>
        <v>#REF!</v>
      </c>
      <c r="D13" s="676"/>
      <c r="E13" s="19" t="e">
        <f t="shared" si="2"/>
        <v>#REF!</v>
      </c>
      <c r="F13" s="16" t="e">
        <f>#REF!</f>
        <v>#REF!</v>
      </c>
      <c r="G13" s="9" t="e">
        <f t="shared" si="1"/>
        <v>#REF!</v>
      </c>
      <c r="H13" s="664"/>
    </row>
    <row r="14" spans="1:8">
      <c r="A14" s="670"/>
      <c r="B14" s="3" t="s">
        <v>10</v>
      </c>
      <c r="C14" s="11" t="e">
        <f>SUMIFS(#REF!,#REF!,$A$9,#REF!,B14)</f>
        <v>#REF!</v>
      </c>
      <c r="D14" s="676"/>
      <c r="E14" s="19" t="e">
        <f t="shared" si="2"/>
        <v>#REF!</v>
      </c>
      <c r="F14" s="16" t="e">
        <f>#REF!</f>
        <v>#REF!</v>
      </c>
      <c r="G14" s="9" t="e">
        <f t="shared" si="1"/>
        <v>#REF!</v>
      </c>
      <c r="H14" s="664"/>
    </row>
    <row r="15" spans="1:8">
      <c r="A15" s="671"/>
      <c r="B15" s="3" t="s">
        <v>13</v>
      </c>
      <c r="C15" s="11" t="e">
        <f>SUMIFS(#REF!,#REF!,$A$9,#REF!,B15)</f>
        <v>#REF!</v>
      </c>
      <c r="D15" s="677"/>
      <c r="E15" s="19" t="e">
        <f t="shared" si="2"/>
        <v>#REF!</v>
      </c>
      <c r="F15" s="16" t="e">
        <f>#REF!</f>
        <v>#REF!</v>
      </c>
      <c r="G15" s="9" t="e">
        <f t="shared" si="1"/>
        <v>#REF!</v>
      </c>
      <c r="H15" s="664"/>
    </row>
    <row r="16" spans="1:8">
      <c r="A16" s="672" t="s">
        <v>1</v>
      </c>
      <c r="B16" s="3" t="s">
        <v>6</v>
      </c>
      <c r="C16" s="11" t="e">
        <f>SUMIFS(#REF!,#REF!,$A$16,#REF!,B16)</f>
        <v>#REF!</v>
      </c>
      <c r="D16" s="678" t="e">
        <f>#REF!</f>
        <v>#REF!</v>
      </c>
      <c r="E16" s="19" t="e">
        <f>C16*$D$16</f>
        <v>#REF!</v>
      </c>
      <c r="F16" s="15" t="e">
        <f>#REF!</f>
        <v>#REF!</v>
      </c>
      <c r="G16" s="9" t="e">
        <f t="shared" si="1"/>
        <v>#REF!</v>
      </c>
      <c r="H16" s="664" t="e">
        <f>SUM(G16:G22)</f>
        <v>#REF!</v>
      </c>
    </row>
    <row r="17" spans="1:8">
      <c r="A17" s="670"/>
      <c r="B17" s="3" t="s">
        <v>7</v>
      </c>
      <c r="C17" s="11" t="e">
        <f>SUMIFS(#REF!,#REF!,$A$16,#REF!,B17)</f>
        <v>#REF!</v>
      </c>
      <c r="D17" s="676"/>
      <c r="E17" s="19" t="e">
        <f t="shared" ref="E17:E22" si="3">C17*$D$16</f>
        <v>#REF!</v>
      </c>
      <c r="F17" s="16" t="e">
        <f>#REF!</f>
        <v>#REF!</v>
      </c>
      <c r="G17" s="9" t="e">
        <f t="shared" si="1"/>
        <v>#REF!</v>
      </c>
      <c r="H17" s="664"/>
    </row>
    <row r="18" spans="1:8">
      <c r="A18" s="670"/>
      <c r="B18" s="3" t="s">
        <v>8</v>
      </c>
      <c r="C18" s="11" t="e">
        <f>SUMIFS(#REF!,#REF!,$A$16,#REF!,B18)</f>
        <v>#REF!</v>
      </c>
      <c r="D18" s="676"/>
      <c r="E18" s="19" t="e">
        <f t="shared" si="3"/>
        <v>#REF!</v>
      </c>
      <c r="F18" s="16" t="e">
        <f>#REF!</f>
        <v>#REF!</v>
      </c>
      <c r="G18" s="9" t="e">
        <f t="shared" si="1"/>
        <v>#REF!</v>
      </c>
      <c r="H18" s="664"/>
    </row>
    <row r="19" spans="1:8">
      <c r="A19" s="670"/>
      <c r="B19" s="3" t="s">
        <v>9</v>
      </c>
      <c r="C19" s="11" t="e">
        <f>SUMIFS(#REF!,#REF!,$A$16,#REF!,B19)</f>
        <v>#REF!</v>
      </c>
      <c r="D19" s="676"/>
      <c r="E19" s="19" t="e">
        <f t="shared" si="3"/>
        <v>#REF!</v>
      </c>
      <c r="F19" s="16" t="e">
        <f>#REF!</f>
        <v>#REF!</v>
      </c>
      <c r="G19" s="9" t="e">
        <f t="shared" si="1"/>
        <v>#REF!</v>
      </c>
      <c r="H19" s="664"/>
    </row>
    <row r="20" spans="1:8">
      <c r="A20" s="670"/>
      <c r="B20" s="3" t="s">
        <v>11</v>
      </c>
      <c r="C20" s="11" t="e">
        <f>SUMIFS(#REF!,#REF!,$A$16,#REF!,B20)</f>
        <v>#REF!</v>
      </c>
      <c r="D20" s="676"/>
      <c r="E20" s="19" t="e">
        <f t="shared" si="3"/>
        <v>#REF!</v>
      </c>
      <c r="F20" s="16" t="e">
        <f>#REF!</f>
        <v>#REF!</v>
      </c>
      <c r="G20" s="9" t="e">
        <f t="shared" si="1"/>
        <v>#REF!</v>
      </c>
      <c r="H20" s="664"/>
    </row>
    <row r="21" spans="1:8">
      <c r="A21" s="670"/>
      <c r="B21" s="3" t="s">
        <v>10</v>
      </c>
      <c r="C21" s="11" t="e">
        <f>SUMIFS(#REF!,#REF!,$A$16,#REF!,B21)</f>
        <v>#REF!</v>
      </c>
      <c r="D21" s="676"/>
      <c r="E21" s="19" t="e">
        <f t="shared" si="3"/>
        <v>#REF!</v>
      </c>
      <c r="F21" s="16" t="e">
        <f>#REF!</f>
        <v>#REF!</v>
      </c>
      <c r="G21" s="9" t="e">
        <f t="shared" si="1"/>
        <v>#REF!</v>
      </c>
      <c r="H21" s="664"/>
    </row>
    <row r="22" spans="1:8">
      <c r="A22" s="671"/>
      <c r="B22" s="3" t="s">
        <v>13</v>
      </c>
      <c r="C22" s="11" t="e">
        <f>SUMIFS(#REF!,#REF!,$A$16,#REF!,B22)</f>
        <v>#REF!</v>
      </c>
      <c r="D22" s="677"/>
      <c r="E22" s="19" t="e">
        <f t="shared" si="3"/>
        <v>#REF!</v>
      </c>
      <c r="F22" s="16" t="e">
        <f>#REF!</f>
        <v>#REF!</v>
      </c>
      <c r="G22" s="9" t="e">
        <f t="shared" si="1"/>
        <v>#REF!</v>
      </c>
      <c r="H22" s="664"/>
    </row>
    <row r="23" spans="1:8">
      <c r="A23" s="672" t="s">
        <v>0</v>
      </c>
      <c r="B23" s="3" t="s">
        <v>6</v>
      </c>
      <c r="C23" s="11" t="e">
        <f>SUMIFS(#REF!,#REF!,$A$23,#REF!,B23)</f>
        <v>#REF!</v>
      </c>
      <c r="D23" s="678" t="e">
        <f>#REF!</f>
        <v>#REF!</v>
      </c>
      <c r="E23" s="19" t="e">
        <f>C23*$D$23</f>
        <v>#REF!</v>
      </c>
      <c r="F23" s="15" t="e">
        <f>#REF!</f>
        <v>#REF!</v>
      </c>
      <c r="G23" s="9" t="e">
        <f t="shared" si="1"/>
        <v>#REF!</v>
      </c>
      <c r="H23" s="664" t="e">
        <f>SUM(G23:G29)</f>
        <v>#REF!</v>
      </c>
    </row>
    <row r="24" spans="1:8">
      <c r="A24" s="670"/>
      <c r="B24" s="3" t="s">
        <v>7</v>
      </c>
      <c r="C24" s="11" t="e">
        <f>SUMIFS(#REF!,#REF!,$A$23,#REF!,B24)</f>
        <v>#REF!</v>
      </c>
      <c r="D24" s="676"/>
      <c r="E24" s="19" t="e">
        <f t="shared" ref="E24:E29" si="4">C24*$D$23</f>
        <v>#REF!</v>
      </c>
      <c r="F24" s="16" t="e">
        <f>#REF!</f>
        <v>#REF!</v>
      </c>
      <c r="G24" s="9" t="e">
        <f t="shared" si="1"/>
        <v>#REF!</v>
      </c>
      <c r="H24" s="664"/>
    </row>
    <row r="25" spans="1:8">
      <c r="A25" s="670"/>
      <c r="B25" s="3" t="s">
        <v>8</v>
      </c>
      <c r="C25" s="11" t="e">
        <f>SUMIFS(#REF!,#REF!,$A$23,#REF!,B25)</f>
        <v>#REF!</v>
      </c>
      <c r="D25" s="676"/>
      <c r="E25" s="19" t="e">
        <f t="shared" si="4"/>
        <v>#REF!</v>
      </c>
      <c r="F25" s="16" t="e">
        <f>#REF!</f>
        <v>#REF!</v>
      </c>
      <c r="G25" s="9" t="e">
        <f t="shared" si="1"/>
        <v>#REF!</v>
      </c>
      <c r="H25" s="664"/>
    </row>
    <row r="26" spans="1:8">
      <c r="A26" s="670"/>
      <c r="B26" s="3" t="s">
        <v>9</v>
      </c>
      <c r="C26" s="11" t="e">
        <f>SUMIFS(#REF!,#REF!,$A$23,#REF!,B26)</f>
        <v>#REF!</v>
      </c>
      <c r="D26" s="676"/>
      <c r="E26" s="19" t="e">
        <f t="shared" si="4"/>
        <v>#REF!</v>
      </c>
      <c r="F26" s="16" t="e">
        <f>#REF!</f>
        <v>#REF!</v>
      </c>
      <c r="G26" s="9" t="e">
        <f t="shared" si="1"/>
        <v>#REF!</v>
      </c>
      <c r="H26" s="664"/>
    </row>
    <row r="27" spans="1:8">
      <c r="A27" s="670"/>
      <c r="B27" s="3" t="s">
        <v>11</v>
      </c>
      <c r="C27" s="11" t="e">
        <f>SUMIFS(#REF!,#REF!,$A$23,#REF!,B27)</f>
        <v>#REF!</v>
      </c>
      <c r="D27" s="676"/>
      <c r="E27" s="19" t="e">
        <f t="shared" si="4"/>
        <v>#REF!</v>
      </c>
      <c r="F27" s="17" t="e">
        <f>#REF!</f>
        <v>#REF!</v>
      </c>
      <c r="G27" s="9" t="e">
        <f t="shared" si="1"/>
        <v>#REF!</v>
      </c>
      <c r="H27" s="665"/>
    </row>
    <row r="28" spans="1:8">
      <c r="A28" s="670"/>
      <c r="B28" s="3" t="s">
        <v>10</v>
      </c>
      <c r="C28" s="11" t="e">
        <f>SUMIFS(#REF!,#REF!,$A$23,#REF!,B28)</f>
        <v>#REF!</v>
      </c>
      <c r="D28" s="676"/>
      <c r="E28" s="19" t="e">
        <f t="shared" si="4"/>
        <v>#REF!</v>
      </c>
      <c r="F28" s="17" t="e">
        <f>#REF!</f>
        <v>#REF!</v>
      </c>
      <c r="G28" s="9" t="e">
        <f t="shared" si="1"/>
        <v>#REF!</v>
      </c>
      <c r="H28" s="665"/>
    </row>
    <row r="29" spans="1:8" ht="15" thickBot="1">
      <c r="A29" s="673"/>
      <c r="B29" s="4" t="s">
        <v>13</v>
      </c>
      <c r="C29" s="22" t="e">
        <f>SUMIFS(#REF!,#REF!,$A$23,#REF!,B29)</f>
        <v>#REF!</v>
      </c>
      <c r="D29" s="679"/>
      <c r="E29" s="20" t="e">
        <f t="shared" si="4"/>
        <v>#REF!</v>
      </c>
      <c r="F29" s="2" t="e">
        <f>#REF!</f>
        <v>#REF!</v>
      </c>
      <c r="G29" s="10" t="e">
        <f t="shared" si="1"/>
        <v>#REF!</v>
      </c>
      <c r="H29" s="666"/>
    </row>
    <row r="30" spans="1:8" ht="15" thickTop="1"/>
    <row r="38" spans="1:4">
      <c r="A38" s="7"/>
      <c r="B38" s="8"/>
      <c r="C38"/>
      <c r="D38" s="674"/>
    </row>
    <row r="39" spans="1:4">
      <c r="A39" s="7"/>
      <c r="B39" s="8"/>
      <c r="C39"/>
      <c r="D39" s="674"/>
    </row>
    <row r="40" spans="1:4">
      <c r="A40" s="7"/>
      <c r="B40" s="8"/>
      <c r="C40"/>
      <c r="D40" s="674"/>
    </row>
  </sheetData>
  <mergeCells count="14">
    <mergeCell ref="A2:A8"/>
    <mergeCell ref="A9:A15"/>
    <mergeCell ref="A16:A22"/>
    <mergeCell ref="A23:A29"/>
    <mergeCell ref="D38:D40"/>
    <mergeCell ref="D2:D8"/>
    <mergeCell ref="D9:D15"/>
    <mergeCell ref="D16:D22"/>
    <mergeCell ref="D23:D29"/>
    <mergeCell ref="H2:H8"/>
    <mergeCell ref="H9:H15"/>
    <mergeCell ref="H16:H22"/>
    <mergeCell ref="H23:H29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A57"/>
  <sheetViews>
    <sheetView zoomScaleNormal="100" workbookViewId="0">
      <selection activeCell="C45" sqref="C45"/>
    </sheetView>
  </sheetViews>
  <sheetFormatPr defaultColWidth="9" defaultRowHeight="11.25"/>
  <cols>
    <col min="1" max="1" width="11.625" style="264" customWidth="1"/>
    <col min="2" max="3" width="12.625" style="264" customWidth="1"/>
    <col min="4" max="4" width="12.75" style="264" customWidth="1"/>
    <col min="5" max="5" width="10" style="264" bestFit="1" customWidth="1"/>
    <col min="6" max="6" width="10.625" style="264" customWidth="1"/>
    <col min="7" max="7" width="12.25" style="264" customWidth="1"/>
    <col min="8" max="8" width="10" style="264" bestFit="1" customWidth="1"/>
    <col min="9" max="9" width="9.125" style="264" bestFit="1" customWidth="1"/>
    <col min="10" max="10" width="13.375" style="264" bestFit="1" customWidth="1"/>
    <col min="11" max="11" width="9.125" style="264" bestFit="1" customWidth="1"/>
    <col min="12" max="12" width="10" style="264" bestFit="1" customWidth="1"/>
    <col min="13" max="13" width="4.75" style="264" customWidth="1"/>
    <col min="14" max="14" width="16.625" style="264" customWidth="1"/>
    <col min="15" max="15" width="12.25" style="264" customWidth="1"/>
    <col min="16" max="16" width="3.125" style="264" hidden="1" customWidth="1"/>
    <col min="17" max="17" width="6.375" style="264" customWidth="1"/>
    <col min="18" max="16384" width="9" style="264"/>
  </cols>
  <sheetData>
    <row r="1" spans="1:53" ht="12" thickBot="1">
      <c r="A1" s="322" t="s">
        <v>223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N1" s="273" t="s">
        <v>224</v>
      </c>
      <c r="O1" s="273"/>
      <c r="P1" s="273"/>
      <c r="Q1" s="273"/>
      <c r="R1" s="273"/>
      <c r="S1" s="273"/>
      <c r="T1" s="273"/>
      <c r="U1" s="273">
        <f>0.330833*3.6</f>
        <v>1.1909988</v>
      </c>
      <c r="V1" s="281" t="s">
        <v>225</v>
      </c>
    </row>
    <row r="2" spans="1:53" ht="12" customHeight="1" thickBot="1">
      <c r="A2" s="322"/>
      <c r="B2" s="322"/>
      <c r="C2" s="322"/>
      <c r="D2" s="322"/>
      <c r="E2" s="322"/>
      <c r="F2" s="322"/>
      <c r="G2" s="322"/>
      <c r="H2" s="322"/>
      <c r="I2" s="322"/>
      <c r="J2" s="714" t="s">
        <v>166</v>
      </c>
      <c r="K2" s="715"/>
      <c r="L2" s="716"/>
      <c r="N2" s="323"/>
      <c r="O2" s="323" t="s">
        <v>226</v>
      </c>
      <c r="P2" s="324" t="s">
        <v>227</v>
      </c>
      <c r="Q2" s="324" t="s">
        <v>228</v>
      </c>
      <c r="R2" s="323" t="s">
        <v>229</v>
      </c>
      <c r="S2" s="323" t="s">
        <v>229</v>
      </c>
      <c r="T2" s="323" t="s">
        <v>230</v>
      </c>
      <c r="U2" s="281" t="s">
        <v>230</v>
      </c>
      <c r="V2" s="281" t="s">
        <v>231</v>
      </c>
    </row>
    <row r="3" spans="1:53" ht="45">
      <c r="A3" s="265" t="s">
        <v>25</v>
      </c>
      <c r="B3" s="266" t="s">
        <v>241</v>
      </c>
      <c r="C3" s="266" t="s">
        <v>243</v>
      </c>
      <c r="E3" s="265" t="s">
        <v>165</v>
      </c>
      <c r="F3" s="267" t="s">
        <v>35</v>
      </c>
      <c r="G3" s="267" t="s">
        <v>180</v>
      </c>
      <c r="H3" s="266" t="s">
        <v>245</v>
      </c>
      <c r="J3" s="268" t="s">
        <v>49</v>
      </c>
      <c r="K3" s="269" t="s">
        <v>251</v>
      </c>
      <c r="L3" s="270">
        <v>6.5</v>
      </c>
      <c r="N3" s="281" t="s">
        <v>232</v>
      </c>
      <c r="O3" s="281">
        <f>Q3</f>
        <v>3.7499999999999999E-2</v>
      </c>
      <c r="P3" s="281">
        <v>15</v>
      </c>
      <c r="Q3" s="281">
        <f>P3*$V$3/1000000</f>
        <v>3.7499999999999999E-2</v>
      </c>
      <c r="R3" s="281">
        <v>20</v>
      </c>
      <c r="S3" s="281">
        <f>R3*$V$3/1000000</f>
        <v>0.05</v>
      </c>
      <c r="T3" s="281">
        <v>25</v>
      </c>
      <c r="U3" s="281">
        <f>T3*$V$3/1000000</f>
        <v>6.25E-2</v>
      </c>
      <c r="V3" s="281">
        <v>2500</v>
      </c>
    </row>
    <row r="4" spans="1:53">
      <c r="A4" s="271" t="s">
        <v>8</v>
      </c>
      <c r="B4" s="272">
        <v>22.63</v>
      </c>
      <c r="C4" s="273">
        <v>41</v>
      </c>
      <c r="D4" s="274"/>
      <c r="E4" s="275" t="s">
        <v>36</v>
      </c>
      <c r="F4" s="276">
        <v>0.2</v>
      </c>
      <c r="G4" s="277" t="s">
        <v>37</v>
      </c>
      <c r="H4" s="278">
        <v>290</v>
      </c>
      <c r="J4" s="268" t="s">
        <v>49</v>
      </c>
      <c r="K4" s="269" t="s">
        <v>250</v>
      </c>
      <c r="L4" s="279">
        <v>35</v>
      </c>
      <c r="N4" s="281" t="s">
        <v>160</v>
      </c>
      <c r="O4" s="281">
        <f t="shared" ref="O4:O7" si="0">Q4</f>
        <v>0.03</v>
      </c>
      <c r="P4" s="281">
        <v>15</v>
      </c>
      <c r="Q4" s="281">
        <f>P4*$V$4/1000000</f>
        <v>0.03</v>
      </c>
      <c r="R4" s="281">
        <v>20</v>
      </c>
      <c r="S4" s="281">
        <f>R4*$V$4/1000000</f>
        <v>0.04</v>
      </c>
      <c r="T4" s="281">
        <v>25</v>
      </c>
      <c r="U4" s="281">
        <f>T4*$V$4/1000000</f>
        <v>0.05</v>
      </c>
      <c r="V4" s="281">
        <v>2000</v>
      </c>
    </row>
    <row r="5" spans="1:53">
      <c r="A5" s="271" t="s">
        <v>26</v>
      </c>
      <c r="B5" s="272">
        <v>4.0035600000000005E-2</v>
      </c>
      <c r="C5" s="273">
        <v>70</v>
      </c>
      <c r="D5" s="274"/>
      <c r="E5" s="275" t="s">
        <v>38</v>
      </c>
      <c r="F5" s="276">
        <v>0.22</v>
      </c>
      <c r="G5" s="277" t="s">
        <v>39</v>
      </c>
      <c r="H5" s="278">
        <v>250</v>
      </c>
      <c r="J5" s="268" t="s">
        <v>50</v>
      </c>
      <c r="K5" s="269" t="s">
        <v>51</v>
      </c>
      <c r="L5" s="280">
        <v>0</v>
      </c>
      <c r="N5" s="281" t="s">
        <v>233</v>
      </c>
      <c r="O5" s="281">
        <f t="shared" si="0"/>
        <v>7.4999999999999997E-2</v>
      </c>
      <c r="P5" s="281">
        <v>15</v>
      </c>
      <c r="Q5" s="281">
        <f>P5*$V$5/1000000</f>
        <v>7.4999999999999997E-2</v>
      </c>
      <c r="R5" s="281">
        <v>25</v>
      </c>
      <c r="S5" s="281">
        <f>R5*$V$5/1000000</f>
        <v>0.125</v>
      </c>
      <c r="T5" s="281">
        <v>35</v>
      </c>
      <c r="U5" s="281">
        <f>3.6*T5*$V$5/1000000</f>
        <v>0.63</v>
      </c>
      <c r="V5" s="281">
        <v>5000</v>
      </c>
      <c r="BA5" s="264" t="b">
        <f>IF(V5="energia el.",(IF(U5&gt;=50,AJ5,AC5+AW5*Z!$J$46)))</f>
        <v>0</v>
      </c>
    </row>
    <row r="6" spans="1:53">
      <c r="A6" s="271" t="s">
        <v>79</v>
      </c>
      <c r="B6" s="272">
        <v>15</v>
      </c>
      <c r="C6" s="273">
        <v>38</v>
      </c>
      <c r="D6" s="274"/>
      <c r="E6" s="275" t="s">
        <v>40</v>
      </c>
      <c r="F6" s="276">
        <v>0.1</v>
      </c>
      <c r="G6" s="277" t="s">
        <v>41</v>
      </c>
      <c r="H6" s="278">
        <v>175</v>
      </c>
      <c r="J6" s="268" t="s">
        <v>52</v>
      </c>
      <c r="K6" s="281">
        <v>4.1900000000000004</v>
      </c>
      <c r="L6" s="279">
        <v>4.1900000000000004</v>
      </c>
      <c r="N6" s="281" t="s">
        <v>164</v>
      </c>
      <c r="O6" s="281">
        <f t="shared" si="0"/>
        <v>0.02</v>
      </c>
      <c r="P6" s="281">
        <v>10</v>
      </c>
      <c r="Q6" s="281">
        <f>P6*$V$6/1000000</f>
        <v>0.02</v>
      </c>
      <c r="R6" s="281">
        <v>20</v>
      </c>
      <c r="S6" s="281">
        <f>R6*$V$6/1000000</f>
        <v>0.04</v>
      </c>
      <c r="T6" s="281">
        <v>30</v>
      </c>
      <c r="U6" s="281">
        <f>T6*$V$6/1000000</f>
        <v>0.06</v>
      </c>
      <c r="V6" s="281">
        <v>2000</v>
      </c>
    </row>
    <row r="7" spans="1:53">
      <c r="A7" s="271" t="s">
        <v>27</v>
      </c>
      <c r="B7" s="272">
        <v>18</v>
      </c>
      <c r="C7" s="273">
        <v>54</v>
      </c>
      <c r="D7" s="274"/>
      <c r="E7" s="275" t="s">
        <v>42</v>
      </c>
      <c r="F7" s="276">
        <v>0.06</v>
      </c>
      <c r="G7" s="277" t="s">
        <v>43</v>
      </c>
      <c r="H7" s="278">
        <v>130</v>
      </c>
      <c r="J7" s="268" t="s">
        <v>53</v>
      </c>
      <c r="K7" s="269" t="s">
        <v>54</v>
      </c>
      <c r="L7" s="279">
        <v>365</v>
      </c>
      <c r="N7" s="281" t="s">
        <v>163</v>
      </c>
      <c r="O7" s="281">
        <f t="shared" si="0"/>
        <v>3.7499999999999999E-2</v>
      </c>
      <c r="P7" s="281">
        <v>15</v>
      </c>
      <c r="Q7" s="281">
        <f>P7*$V$7/1000000</f>
        <v>3.7499999999999999E-2</v>
      </c>
      <c r="R7" s="281">
        <v>25</v>
      </c>
      <c r="S7" s="281">
        <f>R7*$V$7/1000000</f>
        <v>6.25E-2</v>
      </c>
      <c r="T7" s="281">
        <v>35</v>
      </c>
      <c r="U7" s="281">
        <f>T7*$V$7/1000000</f>
        <v>8.7499999999999994E-2</v>
      </c>
      <c r="V7" s="281">
        <v>2500</v>
      </c>
    </row>
    <row r="8" spans="1:53" ht="13.5" customHeight="1">
      <c r="A8" s="271" t="s">
        <v>7</v>
      </c>
      <c r="B8" s="272">
        <f>40.19*0.86</f>
        <v>34.563399999999994</v>
      </c>
      <c r="C8" s="273">
        <v>90</v>
      </c>
      <c r="D8" s="274"/>
      <c r="E8" s="275" t="s">
        <v>44</v>
      </c>
      <c r="F8" s="276">
        <v>0.42</v>
      </c>
      <c r="G8" s="277" t="s">
        <v>45</v>
      </c>
      <c r="H8" s="278">
        <v>115</v>
      </c>
      <c r="J8" s="268" t="s">
        <v>55</v>
      </c>
      <c r="K8" s="269" t="s">
        <v>56</v>
      </c>
      <c r="L8" s="279">
        <v>1</v>
      </c>
      <c r="N8" s="282" t="s">
        <v>89</v>
      </c>
      <c r="P8" s="283" t="s">
        <v>48</v>
      </c>
    </row>
    <row r="9" spans="1:53" ht="12" thickBot="1">
      <c r="A9" s="271" t="s">
        <v>28</v>
      </c>
      <c r="B9" s="272" t="s">
        <v>95</v>
      </c>
      <c r="C9" s="273" t="s">
        <v>95</v>
      </c>
      <c r="E9" s="284">
        <v>0</v>
      </c>
      <c r="F9" s="285">
        <v>0</v>
      </c>
      <c r="G9" s="286">
        <v>0</v>
      </c>
      <c r="H9" s="287">
        <v>0</v>
      </c>
      <c r="J9" s="268" t="s">
        <v>57</v>
      </c>
      <c r="K9" s="269" t="s">
        <v>58</v>
      </c>
      <c r="L9" s="279">
        <v>1000</v>
      </c>
      <c r="N9" s="264" t="s">
        <v>93</v>
      </c>
      <c r="P9" s="288">
        <f>1-G13</f>
        <v>0.6</v>
      </c>
    </row>
    <row r="10" spans="1:53" ht="12" thickBot="1">
      <c r="A10" s="289" t="s">
        <v>274</v>
      </c>
      <c r="B10" s="290" t="s">
        <v>95</v>
      </c>
      <c r="C10" s="273">
        <v>138</v>
      </c>
      <c r="J10" s="268" t="s">
        <v>59</v>
      </c>
      <c r="K10" s="269" t="s">
        <v>60</v>
      </c>
      <c r="L10" s="279">
        <f>55-10</f>
        <v>45</v>
      </c>
      <c r="N10" s="264" t="s">
        <v>94</v>
      </c>
      <c r="P10" s="288">
        <f>1-G14</f>
        <v>0.8</v>
      </c>
    </row>
    <row r="11" spans="1:53" ht="12" thickBot="1">
      <c r="A11" s="264" t="s">
        <v>252</v>
      </c>
      <c r="D11" s="291"/>
      <c r="J11" s="717" t="s">
        <v>61</v>
      </c>
      <c r="K11" s="718"/>
      <c r="L11" s="279">
        <v>0.9</v>
      </c>
      <c r="N11" s="264" t="s">
        <v>103</v>
      </c>
      <c r="P11" s="288">
        <f>1-G15</f>
        <v>1</v>
      </c>
    </row>
    <row r="12" spans="1:53" ht="22.5">
      <c r="A12" s="264" t="s">
        <v>242</v>
      </c>
      <c r="F12" s="265" t="s">
        <v>181</v>
      </c>
      <c r="G12" s="292" t="s">
        <v>169</v>
      </c>
      <c r="H12" s="293" t="s">
        <v>237</v>
      </c>
      <c r="J12" s="294" t="s">
        <v>62</v>
      </c>
      <c r="K12" s="295" t="s">
        <v>63</v>
      </c>
      <c r="L12" s="296">
        <f>L4*L6*L9*L10*L8*L7/(1000*3600)</f>
        <v>669.09062500000005</v>
      </c>
      <c r="N12" s="264" t="s">
        <v>3</v>
      </c>
    </row>
    <row r="13" spans="1:53">
      <c r="F13" s="271" t="s">
        <v>32</v>
      </c>
      <c r="G13" s="297">
        <v>0.4</v>
      </c>
      <c r="H13" s="298">
        <f>1-G13</f>
        <v>0.6</v>
      </c>
      <c r="J13" s="294" t="s">
        <v>64</v>
      </c>
      <c r="K13" s="281"/>
      <c r="L13" s="296">
        <f>L12/1000</f>
        <v>0.66909062500000005</v>
      </c>
      <c r="N13" s="264" t="s">
        <v>90</v>
      </c>
      <c r="O13" s="299" t="s">
        <v>86</v>
      </c>
    </row>
    <row r="14" spans="1:53">
      <c r="F14" s="271" t="s">
        <v>33</v>
      </c>
      <c r="G14" s="297">
        <v>0.2</v>
      </c>
      <c r="H14" s="298">
        <f t="shared" ref="H14:H15" si="1">1-G14</f>
        <v>0.8</v>
      </c>
      <c r="J14" s="294" t="s">
        <v>65</v>
      </c>
      <c r="K14" s="269"/>
      <c r="L14" s="296">
        <f>L13*3.6</f>
        <v>2.4087262500000004</v>
      </c>
      <c r="N14" s="264" t="s">
        <v>91</v>
      </c>
      <c r="O14" s="300" t="s">
        <v>87</v>
      </c>
    </row>
    <row r="15" spans="1:53" ht="12" thickBot="1">
      <c r="F15" s="289" t="s">
        <v>31</v>
      </c>
      <c r="G15" s="301">
        <v>0</v>
      </c>
      <c r="H15" s="302">
        <f t="shared" si="1"/>
        <v>1</v>
      </c>
      <c r="J15" s="303" t="s">
        <v>65</v>
      </c>
      <c r="K15" s="304" t="s">
        <v>277</v>
      </c>
      <c r="L15" s="305">
        <f>L14*L11</f>
        <v>2.1678536250000002</v>
      </c>
      <c r="N15" s="264" t="s">
        <v>104</v>
      </c>
      <c r="O15" s="300" t="s">
        <v>88</v>
      </c>
    </row>
    <row r="16" spans="1:53" ht="12" thickBot="1">
      <c r="E16" s="306"/>
      <c r="K16" s="304" t="s">
        <v>278</v>
      </c>
      <c r="L16" s="305">
        <f>L15*L3/L4</f>
        <v>0.40260138750000002</v>
      </c>
      <c r="N16" s="264" t="s">
        <v>92</v>
      </c>
    </row>
    <row r="17" spans="1:19" ht="14.25" customHeight="1" thickBot="1"/>
    <row r="18" spans="1:19" ht="12" thickBot="1">
      <c r="A18" s="708" t="s">
        <v>280</v>
      </c>
      <c r="B18" s="711" t="s">
        <v>299</v>
      </c>
      <c r="C18" s="712"/>
      <c r="D18" s="712"/>
      <c r="E18" s="712"/>
      <c r="F18" s="712"/>
      <c r="G18" s="712"/>
      <c r="H18" s="713"/>
    </row>
    <row r="19" spans="1:19">
      <c r="A19" s="709"/>
      <c r="B19" s="708" t="s">
        <v>282</v>
      </c>
      <c r="C19" s="698" t="s">
        <v>283</v>
      </c>
      <c r="D19" s="699"/>
      <c r="E19" s="695" t="s">
        <v>284</v>
      </c>
      <c r="F19" s="695" t="s">
        <v>76</v>
      </c>
      <c r="G19" s="698" t="s">
        <v>285</v>
      </c>
      <c r="H19" s="699"/>
      <c r="N19" s="264" t="s">
        <v>275</v>
      </c>
    </row>
    <row r="20" spans="1:19" ht="12" thickBot="1">
      <c r="A20" s="709"/>
      <c r="B20" s="709"/>
      <c r="C20" s="702" t="s">
        <v>286</v>
      </c>
      <c r="D20" s="703"/>
      <c r="E20" s="696"/>
      <c r="F20" s="696"/>
      <c r="G20" s="700"/>
      <c r="H20" s="701"/>
      <c r="N20" s="264" t="s">
        <v>3</v>
      </c>
    </row>
    <row r="21" spans="1:19" ht="45.75" thickBot="1">
      <c r="A21" s="710"/>
      <c r="B21" s="710"/>
      <c r="C21" s="332" t="s">
        <v>287</v>
      </c>
      <c r="D21" s="332" t="s">
        <v>288</v>
      </c>
      <c r="E21" s="697"/>
      <c r="F21" s="697"/>
      <c r="G21" s="332" t="s">
        <v>287</v>
      </c>
      <c r="H21" s="332" t="s">
        <v>288</v>
      </c>
      <c r="N21" s="264" t="s">
        <v>90</v>
      </c>
    </row>
    <row r="22" spans="1:19" ht="11.25" customHeight="1" thickBot="1">
      <c r="A22" s="333" t="s">
        <v>289</v>
      </c>
      <c r="B22" s="332" t="s">
        <v>290</v>
      </c>
      <c r="C22" s="332">
        <v>225</v>
      </c>
      <c r="D22" s="332">
        <v>78</v>
      </c>
      <c r="E22" s="332">
        <v>0.5</v>
      </c>
      <c r="F22" s="332">
        <v>3</v>
      </c>
      <c r="G22" s="332">
        <v>480</v>
      </c>
      <c r="H22" s="332">
        <v>34</v>
      </c>
      <c r="N22" s="264" t="s">
        <v>91</v>
      </c>
    </row>
    <row r="23" spans="1:19" ht="12" thickBot="1">
      <c r="A23" s="333" t="s">
        <v>291</v>
      </c>
      <c r="B23" s="332" t="s">
        <v>290</v>
      </c>
      <c r="C23" s="332">
        <v>201</v>
      </c>
      <c r="D23" s="332">
        <v>70</v>
      </c>
      <c r="E23" s="332">
        <v>0.5</v>
      </c>
      <c r="F23" s="332">
        <v>3</v>
      </c>
      <c r="G23" s="332">
        <v>470</v>
      </c>
      <c r="H23" s="332">
        <v>33</v>
      </c>
      <c r="N23" s="264" t="s">
        <v>2</v>
      </c>
    </row>
    <row r="24" spans="1:19" ht="13.5" thickBot="1">
      <c r="A24" s="333" t="s">
        <v>292</v>
      </c>
      <c r="B24" s="332" t="s">
        <v>293</v>
      </c>
      <c r="C24" s="332">
        <v>93.74</v>
      </c>
      <c r="D24" s="332">
        <v>93.74</v>
      </c>
      <c r="E24" s="332">
        <v>55.82</v>
      </c>
      <c r="F24" s="332">
        <v>76.59</v>
      </c>
      <c r="G24" s="332">
        <v>0</v>
      </c>
      <c r="H24" s="332">
        <v>0</v>
      </c>
      <c r="N24" s="264" t="s">
        <v>238</v>
      </c>
      <c r="O24" s="282" t="s">
        <v>234</v>
      </c>
      <c r="P24" s="282"/>
      <c r="Q24" s="282" t="s">
        <v>236</v>
      </c>
      <c r="R24" s="282"/>
      <c r="S24" s="282" t="s">
        <v>151</v>
      </c>
    </row>
    <row r="25" spans="1:19" ht="12" thickBot="1">
      <c r="A25" s="333" t="s">
        <v>294</v>
      </c>
      <c r="B25" s="332" t="s">
        <v>295</v>
      </c>
      <c r="C25" s="332">
        <v>270</v>
      </c>
      <c r="D25" s="332">
        <v>7.9000000000000001E-2</v>
      </c>
      <c r="E25" s="332" t="s">
        <v>296</v>
      </c>
      <c r="F25" s="332">
        <v>10</v>
      </c>
      <c r="G25" s="332">
        <v>121</v>
      </c>
      <c r="H25" s="332">
        <v>10</v>
      </c>
      <c r="N25" s="264" t="s">
        <v>93</v>
      </c>
      <c r="O25" s="264" t="s">
        <v>87</v>
      </c>
      <c r="P25" s="264" t="s">
        <v>87</v>
      </c>
      <c r="Q25" s="264" t="s">
        <v>87</v>
      </c>
      <c r="S25" s="264" t="s">
        <v>161</v>
      </c>
    </row>
    <row r="26" spans="1:19" ht="13.5" thickBot="1">
      <c r="A26" s="333" t="s">
        <v>297</v>
      </c>
      <c r="B26" s="332" t="s">
        <v>290</v>
      </c>
      <c r="C26" s="332">
        <v>900</v>
      </c>
      <c r="D26" s="332">
        <v>450</v>
      </c>
      <c r="E26" s="332">
        <v>0.5</v>
      </c>
      <c r="F26" s="332">
        <v>140</v>
      </c>
      <c r="G26" s="332">
        <v>11</v>
      </c>
      <c r="H26" s="332">
        <v>11</v>
      </c>
      <c r="N26" s="316" t="s">
        <v>20</v>
      </c>
      <c r="O26" s="264" t="s">
        <v>88</v>
      </c>
      <c r="P26" s="264" t="s">
        <v>88</v>
      </c>
      <c r="Q26" s="264" t="s">
        <v>88</v>
      </c>
      <c r="S26" s="264" t="s">
        <v>162</v>
      </c>
    </row>
    <row r="27" spans="1:19" ht="13.5" thickBot="1">
      <c r="A27" s="333" t="s">
        <v>298</v>
      </c>
      <c r="B27" s="332" t="s">
        <v>290</v>
      </c>
      <c r="C27" s="332">
        <v>158</v>
      </c>
      <c r="D27" s="332">
        <v>165</v>
      </c>
      <c r="E27" s="332">
        <v>50</v>
      </c>
      <c r="F27" s="332">
        <v>70</v>
      </c>
      <c r="G27" s="332">
        <v>80</v>
      </c>
      <c r="H27" s="332">
        <v>91</v>
      </c>
      <c r="N27" s="274" t="s">
        <v>21</v>
      </c>
      <c r="O27" s="264" t="s">
        <v>235</v>
      </c>
      <c r="P27" s="264" t="s">
        <v>235</v>
      </c>
      <c r="Q27" s="264" t="s">
        <v>235</v>
      </c>
      <c r="S27" s="264" t="s">
        <v>258</v>
      </c>
    </row>
    <row r="28" spans="1:19" ht="12" thickBot="1">
      <c r="A28" s="334"/>
      <c r="B28" s="334"/>
      <c r="C28" s="334"/>
      <c r="D28" s="334"/>
      <c r="E28" s="334"/>
      <c r="F28" s="334"/>
      <c r="G28" s="334"/>
      <c r="H28" s="334"/>
      <c r="N28" s="274" t="s">
        <v>22</v>
      </c>
    </row>
    <row r="29" spans="1:19" ht="11.25" customHeight="1" thickBot="1">
      <c r="A29" s="708" t="s">
        <v>280</v>
      </c>
      <c r="B29" s="711" t="s">
        <v>281</v>
      </c>
      <c r="C29" s="712"/>
      <c r="D29" s="712"/>
      <c r="E29" s="712"/>
      <c r="F29" s="712"/>
      <c r="G29" s="712"/>
      <c r="H29" s="713"/>
      <c r="N29" s="274" t="s">
        <v>23</v>
      </c>
    </row>
    <row r="30" spans="1:19">
      <c r="A30" s="709"/>
      <c r="B30" s="708" t="s">
        <v>282</v>
      </c>
      <c r="C30" s="698" t="s">
        <v>283</v>
      </c>
      <c r="D30" s="699"/>
      <c r="E30" s="695" t="s">
        <v>284</v>
      </c>
      <c r="F30" s="695" t="s">
        <v>76</v>
      </c>
      <c r="G30" s="698" t="s">
        <v>285</v>
      </c>
      <c r="H30" s="699"/>
    </row>
    <row r="31" spans="1:19" ht="15.75" customHeight="1" thickBot="1">
      <c r="A31" s="709"/>
      <c r="B31" s="709"/>
      <c r="C31" s="702" t="s">
        <v>286</v>
      </c>
      <c r="D31" s="703"/>
      <c r="E31" s="696"/>
      <c r="F31" s="696"/>
      <c r="G31" s="700"/>
      <c r="H31" s="701"/>
      <c r="M31" s="264" t="s">
        <v>109</v>
      </c>
    </row>
    <row r="32" spans="1:19" ht="21" customHeight="1" thickBot="1">
      <c r="A32" s="710"/>
      <c r="B32" s="710"/>
      <c r="C32" s="332" t="s">
        <v>287</v>
      </c>
      <c r="D32" s="332" t="s">
        <v>288</v>
      </c>
      <c r="E32" s="697"/>
      <c r="F32" s="697"/>
      <c r="G32" s="332" t="s">
        <v>287</v>
      </c>
      <c r="H32" s="332" t="s">
        <v>288</v>
      </c>
      <c r="M32" s="264" t="s">
        <v>88</v>
      </c>
    </row>
    <row r="33" spans="1:19" ht="12" thickBot="1">
      <c r="A33" s="333" t="s">
        <v>289</v>
      </c>
      <c r="B33" s="332" t="s">
        <v>290</v>
      </c>
      <c r="C33" s="332">
        <v>190</v>
      </c>
      <c r="D33" s="332">
        <v>78</v>
      </c>
      <c r="E33" s="332">
        <v>0.5</v>
      </c>
      <c r="F33" s="332">
        <v>3</v>
      </c>
      <c r="G33" s="332">
        <v>76</v>
      </c>
      <c r="H33" s="332">
        <v>34</v>
      </c>
    </row>
    <row r="34" spans="1:19" ht="12" thickBot="1">
      <c r="A34" s="333" t="s">
        <v>291</v>
      </c>
      <c r="B34" s="332" t="s">
        <v>290</v>
      </c>
      <c r="C34" s="332">
        <v>170</v>
      </c>
      <c r="D34" s="332">
        <v>70</v>
      </c>
      <c r="E34" s="332">
        <v>0.5</v>
      </c>
      <c r="F34" s="332">
        <v>3</v>
      </c>
      <c r="G34" s="332">
        <v>76</v>
      </c>
      <c r="H34" s="332">
        <v>33</v>
      </c>
    </row>
    <row r="35" spans="1:19" ht="13.5" thickBot="1">
      <c r="A35" s="333" t="s">
        <v>292</v>
      </c>
      <c r="B35" s="332" t="s">
        <v>293</v>
      </c>
      <c r="C35" s="332">
        <v>93.74</v>
      </c>
      <c r="D35" s="332">
        <v>93.74</v>
      </c>
      <c r="E35" s="332">
        <v>55.82</v>
      </c>
      <c r="F35" s="332">
        <v>76.59</v>
      </c>
      <c r="G35" s="332">
        <v>0</v>
      </c>
      <c r="H35" s="332">
        <v>0</v>
      </c>
    </row>
    <row r="36" spans="1:19" ht="12" thickBot="1">
      <c r="A36" s="333" t="s">
        <v>294</v>
      </c>
      <c r="B36" s="332" t="s">
        <v>295</v>
      </c>
      <c r="C36" s="332">
        <v>100</v>
      </c>
      <c r="D36" s="332">
        <v>7.9000000000000001E-2</v>
      </c>
      <c r="E36" s="332" t="s">
        <v>296</v>
      </c>
      <c r="F36" s="332">
        <v>10</v>
      </c>
      <c r="G36" s="332">
        <v>50</v>
      </c>
      <c r="H36" s="332">
        <v>10</v>
      </c>
    </row>
    <row r="37" spans="1:19" ht="13.5" thickBot="1">
      <c r="A37" s="333" t="s">
        <v>297</v>
      </c>
      <c r="B37" s="332" t="s">
        <v>290</v>
      </c>
      <c r="C37" s="332">
        <v>900</v>
      </c>
      <c r="D37" s="332">
        <v>450</v>
      </c>
      <c r="E37" s="332">
        <v>0.5</v>
      </c>
      <c r="F37" s="332">
        <v>140</v>
      </c>
      <c r="G37" s="332">
        <v>20</v>
      </c>
      <c r="H37" s="332">
        <v>11</v>
      </c>
    </row>
    <row r="38" spans="1:19" ht="13.5" thickBot="1">
      <c r="A38" s="333" t="s">
        <v>298</v>
      </c>
      <c r="B38" s="332" t="s">
        <v>290</v>
      </c>
      <c r="C38" s="332">
        <v>160</v>
      </c>
      <c r="D38" s="332">
        <v>165</v>
      </c>
      <c r="E38" s="332">
        <v>70</v>
      </c>
      <c r="F38" s="332">
        <v>70</v>
      </c>
      <c r="G38" s="332">
        <v>150</v>
      </c>
      <c r="H38" s="332">
        <v>91</v>
      </c>
    </row>
    <row r="40" spans="1:19" ht="12" thickBot="1"/>
    <row r="41" spans="1:19" ht="12" thickBot="1">
      <c r="A41" s="704" t="s">
        <v>279</v>
      </c>
      <c r="B41" s="705"/>
      <c r="C41" s="705"/>
      <c r="D41" s="705"/>
      <c r="E41" s="705"/>
      <c r="F41" s="705"/>
      <c r="G41" s="705"/>
      <c r="H41" s="705"/>
      <c r="I41" s="705"/>
      <c r="J41" s="706"/>
      <c r="K41" s="291"/>
    </row>
    <row r="42" spans="1:19" ht="23.25" thickBot="1">
      <c r="A42" s="307" t="s">
        <v>73</v>
      </c>
      <c r="B42" s="308"/>
      <c r="C42" s="308" t="s">
        <v>8</v>
      </c>
      <c r="D42" s="308" t="s">
        <v>26</v>
      </c>
      <c r="E42" s="308" t="s">
        <v>79</v>
      </c>
      <c r="F42" s="309" t="s">
        <v>27</v>
      </c>
      <c r="G42" s="309" t="s">
        <v>76</v>
      </c>
      <c r="H42" s="308" t="s">
        <v>74</v>
      </c>
      <c r="I42" s="310" t="s">
        <v>167</v>
      </c>
      <c r="J42" s="311" t="s">
        <v>168</v>
      </c>
      <c r="L42" s="680" t="s">
        <v>280</v>
      </c>
      <c r="M42" s="683" t="s">
        <v>300</v>
      </c>
      <c r="N42" s="684"/>
      <c r="O42" s="684"/>
      <c r="P42" s="684"/>
      <c r="Q42" s="684"/>
      <c r="R42" s="684"/>
      <c r="S42" s="685"/>
    </row>
    <row r="43" spans="1:19" ht="12.75" customHeight="1">
      <c r="A43" s="307" t="s">
        <v>75</v>
      </c>
      <c r="B43" s="281" t="s">
        <v>239</v>
      </c>
      <c r="C43" s="312"/>
      <c r="D43" s="312"/>
      <c r="E43" s="312"/>
      <c r="F43" s="312"/>
      <c r="G43" s="312"/>
      <c r="H43" s="312"/>
      <c r="I43" s="312">
        <v>0</v>
      </c>
      <c r="J43" s="279"/>
      <c r="L43" s="681"/>
      <c r="M43" s="680" t="s">
        <v>282</v>
      </c>
      <c r="N43" s="686" t="s">
        <v>283</v>
      </c>
      <c r="O43" s="687"/>
      <c r="P43" s="690" t="s">
        <v>284</v>
      </c>
      <c r="Q43" s="690" t="s">
        <v>76</v>
      </c>
      <c r="R43" s="686" t="s">
        <v>285</v>
      </c>
      <c r="S43" s="687"/>
    </row>
    <row r="44" spans="1:19" ht="13.5" thickBot="1">
      <c r="A44" s="313" t="s">
        <v>66</v>
      </c>
      <c r="B44" s="281" t="s">
        <v>239</v>
      </c>
      <c r="C44" s="336">
        <f>190/1000000</f>
        <v>1.9000000000000001E-4</v>
      </c>
      <c r="D44" s="336">
        <f>0.5/1000000</f>
        <v>4.9999999999999998E-7</v>
      </c>
      <c r="E44" s="336">
        <f>76/1000000</f>
        <v>7.6000000000000004E-5</v>
      </c>
      <c r="F44" s="336">
        <f>E44</f>
        <v>7.6000000000000004E-5</v>
      </c>
      <c r="G44" s="331">
        <f>3/1000000</f>
        <v>3.0000000000000001E-6</v>
      </c>
      <c r="H44" s="314">
        <v>0</v>
      </c>
      <c r="I44" s="314">
        <v>0</v>
      </c>
      <c r="J44" s="279"/>
      <c r="L44" s="681"/>
      <c r="M44" s="681"/>
      <c r="N44" s="688" t="s">
        <v>286</v>
      </c>
      <c r="O44" s="689"/>
      <c r="P44" s="691"/>
      <c r="Q44" s="691"/>
      <c r="R44" s="693"/>
      <c r="S44" s="694"/>
    </row>
    <row r="45" spans="1:19" ht="30" customHeight="1" thickBot="1">
      <c r="A45" s="313" t="s">
        <v>67</v>
      </c>
      <c r="B45" s="281" t="s">
        <v>239</v>
      </c>
      <c r="C45" s="336">
        <f>170/1000000</f>
        <v>1.7000000000000001E-4</v>
      </c>
      <c r="D45" s="336">
        <f>0.5/1000000</f>
        <v>4.9999999999999998E-7</v>
      </c>
      <c r="E45" s="336">
        <f>76/1000000</f>
        <v>7.6000000000000004E-5</v>
      </c>
      <c r="F45" s="336">
        <f t="shared" ref="F45:F49" si="2">E45</f>
        <v>7.6000000000000004E-5</v>
      </c>
      <c r="G45" s="331">
        <f>3/1000000</f>
        <v>3.0000000000000001E-6</v>
      </c>
      <c r="H45" s="314">
        <v>0</v>
      </c>
      <c r="I45" s="314">
        <v>0</v>
      </c>
      <c r="J45" s="279"/>
      <c r="L45" s="682"/>
      <c r="M45" s="682"/>
      <c r="N45" s="335" t="s">
        <v>287</v>
      </c>
      <c r="O45" s="337" t="s">
        <v>288</v>
      </c>
      <c r="P45" s="692"/>
      <c r="Q45" s="692"/>
      <c r="R45" s="335" t="s">
        <v>287</v>
      </c>
      <c r="S45" s="335" t="s">
        <v>288</v>
      </c>
    </row>
    <row r="46" spans="1:19" ht="13.5" thickBot="1">
      <c r="A46" s="313" t="s">
        <v>68</v>
      </c>
      <c r="B46" s="281" t="s">
        <v>239</v>
      </c>
      <c r="C46" s="336">
        <f>93.74/1000</f>
        <v>9.373999999999999E-2</v>
      </c>
      <c r="D46" s="336">
        <f>55.82/1000</f>
        <v>5.5820000000000002E-2</v>
      </c>
      <c r="E46" s="336">
        <v>0</v>
      </c>
      <c r="F46" s="336">
        <f t="shared" si="2"/>
        <v>0</v>
      </c>
      <c r="G46" s="331">
        <f>76.59/1000</f>
        <v>7.6590000000000005E-2</v>
      </c>
      <c r="H46" s="314">
        <f>93.97/1000</f>
        <v>9.3969999999999998E-2</v>
      </c>
      <c r="I46" s="314">
        <v>330.83</v>
      </c>
      <c r="J46" s="315">
        <f>0.330833*3.6</f>
        <v>1.1909988</v>
      </c>
      <c r="L46" s="338" t="s">
        <v>289</v>
      </c>
      <c r="M46" s="335" t="s">
        <v>290</v>
      </c>
      <c r="N46" s="335">
        <v>190</v>
      </c>
      <c r="O46" s="335">
        <v>78</v>
      </c>
      <c r="P46" s="335">
        <v>0.5</v>
      </c>
      <c r="Q46" s="335">
        <v>3</v>
      </c>
      <c r="R46" s="335">
        <v>76</v>
      </c>
      <c r="S46" s="335">
        <v>34</v>
      </c>
    </row>
    <row r="47" spans="1:19" ht="13.5" thickBot="1">
      <c r="A47" s="313" t="s">
        <v>69</v>
      </c>
      <c r="B47" s="281" t="s">
        <v>239</v>
      </c>
      <c r="C47" s="336">
        <f>100/1000000000</f>
        <v>9.9999999999999995E-8</v>
      </c>
      <c r="D47" s="336">
        <v>0</v>
      </c>
      <c r="E47" s="336">
        <f>50/1000000000</f>
        <v>4.9999999999999998E-8</v>
      </c>
      <c r="F47" s="336">
        <f t="shared" si="2"/>
        <v>4.9999999999999998E-8</v>
      </c>
      <c r="G47" s="331">
        <f>10/1000000000</f>
        <v>1E-8</v>
      </c>
      <c r="H47" s="314">
        <v>0</v>
      </c>
      <c r="I47" s="314">
        <v>0</v>
      </c>
      <c r="J47" s="279"/>
      <c r="L47" s="338" t="s">
        <v>291</v>
      </c>
      <c r="M47" s="335" t="s">
        <v>290</v>
      </c>
      <c r="N47" s="335">
        <v>170</v>
      </c>
      <c r="O47" s="335">
        <v>70</v>
      </c>
      <c r="P47" s="335">
        <v>0.5</v>
      </c>
      <c r="Q47" s="335">
        <v>3</v>
      </c>
      <c r="R47" s="335">
        <v>76</v>
      </c>
      <c r="S47" s="335">
        <v>33</v>
      </c>
    </row>
    <row r="48" spans="1:19" ht="15" thickBot="1">
      <c r="A48" s="313" t="s">
        <v>70</v>
      </c>
      <c r="B48" s="281" t="s">
        <v>239</v>
      </c>
      <c r="C48" s="336">
        <f>900/1000000</f>
        <v>8.9999999999999998E-4</v>
      </c>
      <c r="D48" s="336">
        <f>0.5/1000000</f>
        <v>4.9999999999999998E-7</v>
      </c>
      <c r="E48" s="336">
        <f>20/1000000</f>
        <v>2.0000000000000002E-5</v>
      </c>
      <c r="F48" s="336">
        <f t="shared" si="2"/>
        <v>2.0000000000000002E-5</v>
      </c>
      <c r="G48" s="331">
        <f>140/1000000</f>
        <v>1.3999999999999999E-4</v>
      </c>
      <c r="H48" s="314">
        <v>0</v>
      </c>
      <c r="I48" s="314">
        <v>0</v>
      </c>
      <c r="J48" s="279"/>
      <c r="L48" s="338" t="s">
        <v>301</v>
      </c>
      <c r="M48" s="335" t="s">
        <v>293</v>
      </c>
      <c r="N48" s="335">
        <v>93.74</v>
      </c>
      <c r="O48" s="335">
        <v>93.74</v>
      </c>
      <c r="P48" s="335">
        <v>55.82</v>
      </c>
      <c r="Q48" s="335">
        <v>76.59</v>
      </c>
      <c r="R48" s="335">
        <v>0</v>
      </c>
      <c r="S48" s="335">
        <v>0</v>
      </c>
    </row>
    <row r="49" spans="1:19" ht="26.25" thickBot="1">
      <c r="A49" s="313" t="s">
        <v>71</v>
      </c>
      <c r="B49" s="281" t="s">
        <v>239</v>
      </c>
      <c r="C49" s="336">
        <f>160/1000000</f>
        <v>1.6000000000000001E-4</v>
      </c>
      <c r="D49" s="336">
        <f>70/1000000</f>
        <v>6.9999999999999994E-5</v>
      </c>
      <c r="E49" s="336">
        <f>20/1000000</f>
        <v>2.0000000000000002E-5</v>
      </c>
      <c r="F49" s="336">
        <f t="shared" si="2"/>
        <v>2.0000000000000002E-5</v>
      </c>
      <c r="G49" s="331">
        <f>70/1000000</f>
        <v>6.9999999999999994E-5</v>
      </c>
      <c r="H49" s="314">
        <v>0</v>
      </c>
      <c r="I49" s="314">
        <v>0</v>
      </c>
      <c r="J49" s="279"/>
      <c r="L49" s="338" t="s">
        <v>294</v>
      </c>
      <c r="M49" s="335" t="s">
        <v>295</v>
      </c>
      <c r="N49" s="335">
        <v>100</v>
      </c>
      <c r="O49" s="335">
        <v>7.9000000000000001E-2</v>
      </c>
      <c r="P49" s="335" t="s">
        <v>296</v>
      </c>
      <c r="Q49" s="335">
        <v>10</v>
      </c>
      <c r="R49" s="335">
        <v>50</v>
      </c>
      <c r="S49" s="335">
        <v>10</v>
      </c>
    </row>
    <row r="50" spans="1:19" ht="15" thickBot="1">
      <c r="A50" s="317" t="s">
        <v>72</v>
      </c>
      <c r="B50" s="318" t="s">
        <v>239</v>
      </c>
      <c r="C50" s="336">
        <v>2.0116227089852479E-3</v>
      </c>
      <c r="D50" s="336">
        <v>7.5000000000000002E-6</v>
      </c>
      <c r="E50" s="336">
        <v>1.794E-4</v>
      </c>
      <c r="F50" s="331">
        <v>1.794E-4</v>
      </c>
      <c r="G50" s="331">
        <v>1.625355393043083E-5</v>
      </c>
      <c r="H50" s="319">
        <v>0</v>
      </c>
      <c r="I50" s="319">
        <v>0</v>
      </c>
      <c r="J50" s="320"/>
      <c r="L50" s="338" t="s">
        <v>302</v>
      </c>
      <c r="M50" s="335" t="s">
        <v>290</v>
      </c>
      <c r="N50" s="335">
        <v>900</v>
      </c>
      <c r="O50" s="335">
        <v>450</v>
      </c>
      <c r="P50" s="335">
        <v>0.5</v>
      </c>
      <c r="Q50" s="335">
        <v>140</v>
      </c>
      <c r="R50" s="335">
        <v>20</v>
      </c>
      <c r="S50" s="335">
        <v>11</v>
      </c>
    </row>
    <row r="51" spans="1:19" ht="15" thickBot="1">
      <c r="L51" s="338" t="s">
        <v>303</v>
      </c>
      <c r="M51" s="335" t="s">
        <v>290</v>
      </c>
      <c r="N51" s="335">
        <v>160</v>
      </c>
      <c r="O51" s="335">
        <v>165</v>
      </c>
      <c r="P51" s="335">
        <v>70</v>
      </c>
      <c r="Q51" s="335">
        <v>70</v>
      </c>
      <c r="R51" s="335">
        <v>150</v>
      </c>
      <c r="S51" s="335">
        <v>91</v>
      </c>
    </row>
    <row r="53" spans="1:19">
      <c r="A53" s="707" t="s">
        <v>244</v>
      </c>
      <c r="B53" s="321">
        <v>0.71</v>
      </c>
      <c r="C53" s="707" t="s">
        <v>247</v>
      </c>
      <c r="D53" s="281">
        <v>2.6</v>
      </c>
      <c r="E53" s="707" t="s">
        <v>246</v>
      </c>
      <c r="F53" s="281">
        <v>3.63</v>
      </c>
      <c r="G53" s="707" t="s">
        <v>248</v>
      </c>
      <c r="H53" s="281">
        <v>15</v>
      </c>
      <c r="J53" s="282" t="s">
        <v>109</v>
      </c>
    </row>
    <row r="54" spans="1:19">
      <c r="A54" s="707"/>
      <c r="C54" s="707"/>
      <c r="E54" s="707"/>
      <c r="G54" s="707"/>
      <c r="J54" s="264" t="s">
        <v>109</v>
      </c>
    </row>
    <row r="55" spans="1:19">
      <c r="A55" s="707"/>
      <c r="C55" s="707"/>
      <c r="E55" s="707"/>
      <c r="G55" s="707"/>
      <c r="J55" s="264" t="s">
        <v>259</v>
      </c>
    </row>
    <row r="56" spans="1:19">
      <c r="A56" s="707"/>
      <c r="C56" s="707"/>
      <c r="E56" s="707"/>
      <c r="G56" s="707"/>
      <c r="J56" s="264" t="s">
        <v>88</v>
      </c>
    </row>
    <row r="57" spans="1:19">
      <c r="J57" s="264" t="s">
        <v>110</v>
      </c>
    </row>
  </sheetData>
  <mergeCells count="31">
    <mergeCell ref="J2:L2"/>
    <mergeCell ref="J11:K11"/>
    <mergeCell ref="A18:A21"/>
    <mergeCell ref="B18:H18"/>
    <mergeCell ref="B19:B21"/>
    <mergeCell ref="C19:D19"/>
    <mergeCell ref="E19:E21"/>
    <mergeCell ref="F19:F21"/>
    <mergeCell ref="G19:H20"/>
    <mergeCell ref="C20:D20"/>
    <mergeCell ref="F30:F32"/>
    <mergeCell ref="G30:H31"/>
    <mergeCell ref="C31:D31"/>
    <mergeCell ref="A41:J41"/>
    <mergeCell ref="A53:A56"/>
    <mergeCell ref="C53:C56"/>
    <mergeCell ref="E53:E56"/>
    <mergeCell ref="G53:G56"/>
    <mergeCell ref="A29:A32"/>
    <mergeCell ref="B29:H29"/>
    <mergeCell ref="B30:B32"/>
    <mergeCell ref="C30:D30"/>
    <mergeCell ref="E30:E32"/>
    <mergeCell ref="L42:L45"/>
    <mergeCell ref="M42:S42"/>
    <mergeCell ref="M43:M45"/>
    <mergeCell ref="N43:O43"/>
    <mergeCell ref="N44:O44"/>
    <mergeCell ref="P43:P45"/>
    <mergeCell ref="Q43:Q45"/>
    <mergeCell ref="R43:S44"/>
  </mergeCells>
  <dataValidations disablePrompts="1" count="1">
    <dataValidation type="list" allowBlank="1" showInputMessage="1" showErrorMessage="1" sqref="E16">
      <formula1>$A$4:$A$10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2"/>
  <sheetViews>
    <sheetView view="pageBreakPreview" zoomScaleNormal="100" zoomScaleSheetLayoutView="100" workbookViewId="0">
      <pane ySplit="3" topLeftCell="A44" activePane="bottomLeft" state="frozen"/>
      <selection pane="bottomLeft" activeCell="C72" sqref="C72"/>
    </sheetView>
  </sheetViews>
  <sheetFormatPr defaultColWidth="9" defaultRowHeight="12"/>
  <cols>
    <col min="1" max="1" width="36.5" style="409" bestFit="1" customWidth="1"/>
    <col min="2" max="3" width="9.125" style="409" bestFit="1" customWidth="1"/>
    <col min="4" max="4" width="9.625" style="409" bestFit="1" customWidth="1"/>
    <col min="5" max="8" width="9.125" style="409" bestFit="1" customWidth="1"/>
    <col min="9" max="16384" width="9" style="409"/>
  </cols>
  <sheetData>
    <row r="1" spans="1:8" ht="15.75">
      <c r="A1" s="720" t="s">
        <v>414</v>
      </c>
      <c r="B1" s="721"/>
      <c r="C1" s="721"/>
      <c r="D1" s="721"/>
      <c r="E1" s="721"/>
      <c r="F1" s="721"/>
      <c r="G1" s="721"/>
      <c r="H1" s="722"/>
    </row>
    <row r="2" spans="1:8">
      <c r="A2" s="719" t="s">
        <v>331</v>
      </c>
      <c r="B2" s="719"/>
      <c r="C2" s="719"/>
      <c r="D2" s="719"/>
      <c r="E2" s="719"/>
      <c r="F2" s="719"/>
      <c r="G2" s="719"/>
      <c r="H2" s="719"/>
    </row>
    <row r="3" spans="1:8">
      <c r="A3" s="410"/>
      <c r="B3" s="411" t="s">
        <v>332</v>
      </c>
      <c r="C3" s="411" t="s">
        <v>333</v>
      </c>
      <c r="D3" s="411" t="s">
        <v>334</v>
      </c>
      <c r="E3" s="411" t="s">
        <v>335</v>
      </c>
      <c r="F3" s="411" t="s">
        <v>336</v>
      </c>
      <c r="G3" s="411" t="s">
        <v>337</v>
      </c>
      <c r="H3" s="411" t="s">
        <v>338</v>
      </c>
    </row>
    <row r="4" spans="1:8">
      <c r="A4" s="408" t="s">
        <v>313</v>
      </c>
      <c r="B4" s="412">
        <v>1.2</v>
      </c>
      <c r="C4" s="412">
        <v>1.2</v>
      </c>
      <c r="D4" s="412">
        <v>52000</v>
      </c>
      <c r="E4" s="412">
        <v>5.6000000000000004E-7</v>
      </c>
      <c r="F4" s="412">
        <v>0.3</v>
      </c>
      <c r="G4" s="412">
        <v>51</v>
      </c>
      <c r="H4" s="412">
        <v>26</v>
      </c>
    </row>
    <row r="5" spans="1:8">
      <c r="A5" s="408" t="s">
        <v>312</v>
      </c>
      <c r="B5" s="412">
        <v>1.9</v>
      </c>
      <c r="C5" s="412">
        <v>1.9</v>
      </c>
      <c r="D5" s="412">
        <v>76000</v>
      </c>
      <c r="E5" s="412">
        <v>8.0000000000000007E-5</v>
      </c>
      <c r="F5" s="412">
        <v>70</v>
      </c>
      <c r="G5" s="412">
        <v>51</v>
      </c>
      <c r="H5" s="412">
        <v>57</v>
      </c>
    </row>
    <row r="6" spans="1:8">
      <c r="A6" s="408" t="s">
        <v>314</v>
      </c>
      <c r="B6" s="412">
        <v>0</v>
      </c>
      <c r="C6" s="412">
        <v>0</v>
      </c>
      <c r="D6" s="412">
        <v>230833</v>
      </c>
      <c r="E6" s="412">
        <v>0</v>
      </c>
      <c r="F6" s="412">
        <v>0</v>
      </c>
      <c r="G6" s="412">
        <v>0</v>
      </c>
      <c r="H6" s="412">
        <v>0</v>
      </c>
    </row>
    <row r="7" spans="1:8">
      <c r="A7" s="408" t="s">
        <v>315</v>
      </c>
      <c r="B7" s="412">
        <v>0</v>
      </c>
      <c r="C7" s="412">
        <v>0</v>
      </c>
      <c r="D7" s="412">
        <v>93740</v>
      </c>
      <c r="E7" s="412">
        <v>0</v>
      </c>
      <c r="F7" s="412">
        <v>0</v>
      </c>
      <c r="G7" s="412">
        <v>0</v>
      </c>
      <c r="H7" s="412">
        <v>0</v>
      </c>
    </row>
    <row r="8" spans="1:8">
      <c r="A8" s="719" t="s">
        <v>328</v>
      </c>
      <c r="B8" s="719"/>
      <c r="C8" s="719"/>
      <c r="D8" s="719"/>
      <c r="E8" s="719"/>
      <c r="F8" s="719"/>
      <c r="G8" s="719"/>
      <c r="H8" s="719"/>
    </row>
    <row r="9" spans="1:8">
      <c r="A9" s="413"/>
      <c r="B9" s="411" t="s">
        <v>332</v>
      </c>
      <c r="C9" s="411" t="s">
        <v>333</v>
      </c>
      <c r="D9" s="411" t="s">
        <v>334</v>
      </c>
      <c r="E9" s="411" t="s">
        <v>335</v>
      </c>
      <c r="F9" s="411" t="s">
        <v>336</v>
      </c>
      <c r="G9" s="411" t="s">
        <v>337</v>
      </c>
      <c r="H9" s="411" t="s">
        <v>338</v>
      </c>
    </row>
    <row r="10" spans="1:8">
      <c r="A10" s="408" t="s">
        <v>317</v>
      </c>
      <c r="B10" s="410">
        <v>404</v>
      </c>
      <c r="C10" s="410">
        <v>398</v>
      </c>
      <c r="D10" s="410">
        <v>91000</v>
      </c>
      <c r="E10" s="410">
        <v>0.23</v>
      </c>
      <c r="F10" s="410">
        <v>400</v>
      </c>
      <c r="G10" s="410">
        <v>110</v>
      </c>
      <c r="H10" s="410">
        <v>4600</v>
      </c>
    </row>
    <row r="11" spans="1:8">
      <c r="A11" s="408" t="s">
        <v>339</v>
      </c>
      <c r="B11" s="410">
        <v>240</v>
      </c>
      <c r="C11" s="410">
        <v>220</v>
      </c>
      <c r="D11" s="410">
        <v>95000</v>
      </c>
      <c r="E11" s="410">
        <v>0.15</v>
      </c>
      <c r="F11" s="410">
        <v>282.8</v>
      </c>
      <c r="G11" s="410">
        <v>150</v>
      </c>
      <c r="H11" s="410">
        <v>2000</v>
      </c>
    </row>
    <row r="12" spans="1:8">
      <c r="A12" s="408" t="s">
        <v>320</v>
      </c>
      <c r="B12" s="410">
        <v>200</v>
      </c>
      <c r="C12" s="410">
        <v>150</v>
      </c>
      <c r="D12" s="410">
        <v>91000</v>
      </c>
      <c r="E12" s="410">
        <v>0.2</v>
      </c>
      <c r="F12" s="410">
        <v>400</v>
      </c>
      <c r="G12" s="410">
        <v>110</v>
      </c>
      <c r="H12" s="410">
        <v>2466.7800000000002</v>
      </c>
    </row>
    <row r="13" spans="1:8">
      <c r="A13" s="408" t="s">
        <v>318</v>
      </c>
      <c r="B13" s="410">
        <v>49.5</v>
      </c>
      <c r="C13" s="410">
        <v>47.03</v>
      </c>
      <c r="D13" s="410">
        <v>91000</v>
      </c>
      <c r="E13" s="410">
        <v>8.4000000000000005E-2</v>
      </c>
      <c r="F13" s="410">
        <v>200</v>
      </c>
      <c r="G13" s="410">
        <v>110</v>
      </c>
      <c r="H13" s="410">
        <v>860</v>
      </c>
    </row>
    <row r="14" spans="1:8">
      <c r="A14" s="408" t="s">
        <v>323</v>
      </c>
      <c r="B14" s="410">
        <v>23.68</v>
      </c>
      <c r="C14" s="410">
        <v>23.33</v>
      </c>
      <c r="D14" s="410">
        <v>104000</v>
      </c>
      <c r="E14" s="410">
        <v>4.4999999999999998E-2</v>
      </c>
      <c r="F14" s="410">
        <v>0</v>
      </c>
      <c r="G14" s="410">
        <v>202</v>
      </c>
      <c r="H14" s="410">
        <v>345.35</v>
      </c>
    </row>
    <row r="15" spans="1:8">
      <c r="A15" s="408" t="s">
        <v>325</v>
      </c>
      <c r="B15" s="410">
        <v>23.68</v>
      </c>
      <c r="C15" s="410">
        <v>23.33</v>
      </c>
      <c r="D15" s="410">
        <v>104000</v>
      </c>
      <c r="E15" s="410">
        <v>4.4999999999999998E-2</v>
      </c>
      <c r="F15" s="410">
        <v>0</v>
      </c>
      <c r="G15" s="410">
        <v>202</v>
      </c>
      <c r="H15" s="410">
        <v>345.35</v>
      </c>
    </row>
    <row r="16" spans="1:8">
      <c r="A16" s="408" t="s">
        <v>547</v>
      </c>
      <c r="B16" s="410">
        <v>49.34</v>
      </c>
      <c r="C16" s="410">
        <v>48.6</v>
      </c>
      <c r="D16" s="410">
        <v>92000</v>
      </c>
      <c r="E16" s="410">
        <v>7.4999999999999997E-2</v>
      </c>
      <c r="F16" s="410">
        <v>282.8</v>
      </c>
      <c r="G16" s="410">
        <v>340</v>
      </c>
      <c r="H16" s="410">
        <v>1140</v>
      </c>
    </row>
    <row r="17" spans="1:8">
      <c r="A17" s="408" t="s">
        <v>322</v>
      </c>
      <c r="B17" s="410">
        <v>23.68</v>
      </c>
      <c r="C17" s="410">
        <v>23.33</v>
      </c>
      <c r="D17" s="410">
        <v>92000</v>
      </c>
      <c r="E17" s="410">
        <v>4.4999999999999998E-2</v>
      </c>
      <c r="F17" s="410">
        <v>200</v>
      </c>
      <c r="G17" s="410">
        <v>340</v>
      </c>
      <c r="H17" s="410">
        <v>670</v>
      </c>
    </row>
    <row r="18" spans="1:8">
      <c r="A18" s="408" t="s">
        <v>321</v>
      </c>
      <c r="B18" s="414">
        <v>15.79</v>
      </c>
      <c r="C18" s="414">
        <v>15.55</v>
      </c>
      <c r="D18" s="414">
        <v>92000</v>
      </c>
      <c r="E18" s="414">
        <v>1.0999999999999999E-2</v>
      </c>
      <c r="F18" s="414">
        <v>0</v>
      </c>
      <c r="G18" s="414">
        <v>190</v>
      </c>
      <c r="H18" s="410">
        <v>246.88</v>
      </c>
    </row>
    <row r="19" spans="1:8">
      <c r="A19" s="408" t="s">
        <v>319</v>
      </c>
      <c r="B19" s="414">
        <v>15.79</v>
      </c>
      <c r="C19" s="414">
        <v>15.55</v>
      </c>
      <c r="D19" s="414">
        <v>92000</v>
      </c>
      <c r="E19" s="414">
        <v>1.0999999999999999E-2</v>
      </c>
      <c r="F19" s="414">
        <v>0</v>
      </c>
      <c r="G19" s="414">
        <v>190</v>
      </c>
      <c r="H19" s="410">
        <v>246.88</v>
      </c>
    </row>
    <row r="20" spans="1:8">
      <c r="A20" s="719" t="s">
        <v>340</v>
      </c>
      <c r="B20" s="719"/>
      <c r="C20" s="719"/>
      <c r="D20" s="719"/>
      <c r="E20" s="719"/>
      <c r="F20" s="719"/>
      <c r="G20" s="719"/>
      <c r="H20" s="719"/>
    </row>
    <row r="21" spans="1:8">
      <c r="A21" s="408" t="s">
        <v>317</v>
      </c>
      <c r="B21" s="414">
        <v>760</v>
      </c>
      <c r="C21" s="414">
        <v>740</v>
      </c>
      <c r="D21" s="414">
        <v>0</v>
      </c>
      <c r="E21" s="414">
        <v>0.121</v>
      </c>
      <c r="F21" s="414">
        <v>11</v>
      </c>
      <c r="G21" s="414">
        <v>80</v>
      </c>
      <c r="H21" s="414">
        <v>4000</v>
      </c>
    </row>
    <row r="22" spans="1:8">
      <c r="A22" s="408" t="s">
        <v>327</v>
      </c>
      <c r="B22" s="414">
        <v>760</v>
      </c>
      <c r="C22" s="414">
        <v>740</v>
      </c>
      <c r="D22" s="414">
        <v>0</v>
      </c>
      <c r="E22" s="414">
        <v>0.121</v>
      </c>
      <c r="F22" s="414">
        <v>11</v>
      </c>
      <c r="G22" s="414">
        <v>80</v>
      </c>
      <c r="H22" s="410">
        <v>4000</v>
      </c>
    </row>
    <row r="23" spans="1:8">
      <c r="A23" s="408" t="s">
        <v>320</v>
      </c>
      <c r="B23" s="414">
        <v>108</v>
      </c>
      <c r="C23" s="414">
        <v>102.6</v>
      </c>
      <c r="D23" s="414">
        <v>0</v>
      </c>
      <c r="E23" s="414">
        <v>0.02</v>
      </c>
      <c r="F23" s="414">
        <v>10</v>
      </c>
      <c r="G23" s="414">
        <v>80</v>
      </c>
      <c r="H23" s="414">
        <v>2850</v>
      </c>
    </row>
    <row r="24" spans="1:8">
      <c r="A24" s="408" t="s">
        <v>318</v>
      </c>
      <c r="B24" s="414">
        <v>49.5</v>
      </c>
      <c r="C24" s="414">
        <v>47.03</v>
      </c>
      <c r="D24" s="414">
        <v>0</v>
      </c>
      <c r="E24" s="414">
        <v>6.9000000000000006E-2</v>
      </c>
      <c r="F24" s="414">
        <v>10</v>
      </c>
      <c r="G24" s="414">
        <v>110</v>
      </c>
      <c r="H24" s="414">
        <v>592.03</v>
      </c>
    </row>
    <row r="25" spans="1:8">
      <c r="A25" s="408" t="s">
        <v>323</v>
      </c>
      <c r="B25" s="414">
        <v>36</v>
      </c>
      <c r="C25" s="414">
        <v>34.200000000000003</v>
      </c>
      <c r="D25" s="414">
        <v>0</v>
      </c>
      <c r="E25" s="414">
        <v>0.05</v>
      </c>
      <c r="F25" s="414">
        <v>10</v>
      </c>
      <c r="G25" s="414">
        <v>130</v>
      </c>
      <c r="H25" s="414">
        <v>440</v>
      </c>
    </row>
    <row r="26" spans="1:8">
      <c r="A26" s="408" t="s">
        <v>325</v>
      </c>
      <c r="B26" s="414">
        <v>36</v>
      </c>
      <c r="C26" s="414">
        <v>34.200000000000003</v>
      </c>
      <c r="D26" s="414">
        <v>0</v>
      </c>
      <c r="E26" s="414">
        <v>0.05</v>
      </c>
      <c r="F26" s="414">
        <v>10</v>
      </c>
      <c r="G26" s="414">
        <v>130</v>
      </c>
      <c r="H26" s="414">
        <v>440</v>
      </c>
    </row>
    <row r="27" spans="1:8">
      <c r="A27" s="408" t="s">
        <v>326</v>
      </c>
      <c r="B27" s="414">
        <v>49.5</v>
      </c>
      <c r="C27" s="414">
        <v>47.03</v>
      </c>
      <c r="D27" s="414">
        <v>0</v>
      </c>
      <c r="E27" s="414">
        <v>3.7999999999999999E-2</v>
      </c>
      <c r="F27" s="414">
        <v>20</v>
      </c>
      <c r="G27" s="414">
        <v>115</v>
      </c>
      <c r="H27" s="410">
        <v>670</v>
      </c>
    </row>
    <row r="28" spans="1:8">
      <c r="A28" s="408" t="s">
        <v>322</v>
      </c>
      <c r="B28" s="414">
        <v>23.68</v>
      </c>
      <c r="C28" s="414">
        <v>23.33</v>
      </c>
      <c r="D28" s="414">
        <v>0</v>
      </c>
      <c r="E28" s="414">
        <v>7.4000000000000003E-3</v>
      </c>
      <c r="F28" s="414">
        <v>20</v>
      </c>
      <c r="G28" s="414">
        <v>341</v>
      </c>
      <c r="H28" s="414">
        <v>493.36</v>
      </c>
    </row>
    <row r="29" spans="1:8">
      <c r="A29" s="408" t="s">
        <v>321</v>
      </c>
      <c r="B29" s="414">
        <v>18</v>
      </c>
      <c r="C29" s="414">
        <v>17.100000000000001</v>
      </c>
      <c r="D29" s="414">
        <v>0</v>
      </c>
      <c r="E29" s="414">
        <v>5.0000000000000001E-3</v>
      </c>
      <c r="F29" s="414">
        <v>0</v>
      </c>
      <c r="G29" s="414">
        <v>100</v>
      </c>
      <c r="H29" s="410">
        <v>246.88</v>
      </c>
    </row>
    <row r="30" spans="1:8">
      <c r="A30" s="408" t="s">
        <v>319</v>
      </c>
      <c r="B30" s="414">
        <v>18</v>
      </c>
      <c r="C30" s="414">
        <v>17.100000000000001</v>
      </c>
      <c r="D30" s="414">
        <v>0</v>
      </c>
      <c r="E30" s="414">
        <v>5.0000000000000001E-3</v>
      </c>
      <c r="F30" s="414">
        <v>0</v>
      </c>
      <c r="G30" s="414">
        <v>100</v>
      </c>
      <c r="H30" s="414">
        <v>246.88</v>
      </c>
    </row>
    <row r="31" spans="1:8">
      <c r="A31" s="719" t="s">
        <v>329</v>
      </c>
      <c r="B31" s="719"/>
      <c r="C31" s="719"/>
      <c r="D31" s="719"/>
      <c r="E31" s="719"/>
      <c r="F31" s="719"/>
      <c r="G31" s="719"/>
      <c r="H31" s="719"/>
    </row>
    <row r="32" spans="1:8">
      <c r="A32" s="415" t="s">
        <v>341</v>
      </c>
      <c r="B32" s="414">
        <v>424</v>
      </c>
      <c r="C32" s="414">
        <v>106</v>
      </c>
      <c r="D32" s="414">
        <v>104000</v>
      </c>
      <c r="E32" s="414">
        <v>0.26</v>
      </c>
      <c r="F32" s="414">
        <v>450</v>
      </c>
      <c r="G32" s="414">
        <v>100</v>
      </c>
      <c r="H32" s="414">
        <v>5250</v>
      </c>
    </row>
    <row r="33" spans="1:8">
      <c r="A33" s="415" t="s">
        <v>342</v>
      </c>
      <c r="B33" s="414">
        <v>424</v>
      </c>
      <c r="C33" s="414">
        <v>106</v>
      </c>
      <c r="D33" s="414">
        <v>104000</v>
      </c>
      <c r="E33" s="414">
        <v>0.26</v>
      </c>
      <c r="F33" s="414">
        <v>450</v>
      </c>
      <c r="G33" s="414">
        <v>100</v>
      </c>
      <c r="H33" s="414">
        <v>5250</v>
      </c>
    </row>
    <row r="34" spans="1:8">
      <c r="A34" s="415" t="s">
        <v>343</v>
      </c>
      <c r="B34" s="414">
        <v>106</v>
      </c>
      <c r="C34" s="414">
        <v>26.5</v>
      </c>
      <c r="D34" s="414">
        <v>104000</v>
      </c>
      <c r="E34" s="414">
        <v>0.26</v>
      </c>
      <c r="F34" s="414">
        <v>450</v>
      </c>
      <c r="G34" s="414">
        <v>100</v>
      </c>
      <c r="H34" s="414">
        <v>5250</v>
      </c>
    </row>
    <row r="35" spans="1:8">
      <c r="A35" s="415" t="s">
        <v>344</v>
      </c>
      <c r="B35" s="414">
        <v>17.600000000000001</v>
      </c>
      <c r="C35" s="414">
        <v>4.4000000000000004</v>
      </c>
      <c r="D35" s="414">
        <v>92000</v>
      </c>
      <c r="E35" s="414">
        <v>1.0999999999999999E-2</v>
      </c>
      <c r="F35" s="414">
        <v>0</v>
      </c>
      <c r="G35" s="414">
        <v>170</v>
      </c>
      <c r="H35" s="414">
        <v>830</v>
      </c>
    </row>
    <row r="36" spans="1:8">
      <c r="A36" s="719" t="s">
        <v>345</v>
      </c>
      <c r="B36" s="719"/>
      <c r="C36" s="719"/>
      <c r="D36" s="719"/>
      <c r="E36" s="719"/>
      <c r="F36" s="719"/>
      <c r="G36" s="719"/>
      <c r="H36" s="719"/>
    </row>
    <row r="37" spans="1:8">
      <c r="A37" s="415" t="s">
        <v>341</v>
      </c>
      <c r="B37" s="414">
        <v>424</v>
      </c>
      <c r="C37" s="414">
        <v>106</v>
      </c>
      <c r="D37" s="414">
        <v>104000</v>
      </c>
      <c r="E37" s="414">
        <v>0.26</v>
      </c>
      <c r="F37" s="414">
        <v>450</v>
      </c>
      <c r="G37" s="414">
        <v>100</v>
      </c>
      <c r="H37" s="414">
        <v>5250</v>
      </c>
    </row>
    <row r="38" spans="1:8">
      <c r="A38" s="415" t="s">
        <v>342</v>
      </c>
      <c r="B38" s="414">
        <v>424</v>
      </c>
      <c r="C38" s="414">
        <v>106</v>
      </c>
      <c r="D38" s="414">
        <v>104000</v>
      </c>
      <c r="E38" s="414">
        <v>0.26</v>
      </c>
      <c r="F38" s="414">
        <v>450</v>
      </c>
      <c r="G38" s="414">
        <v>100</v>
      </c>
      <c r="H38" s="414">
        <v>5250</v>
      </c>
    </row>
    <row r="39" spans="1:8">
      <c r="A39" s="415" t="s">
        <v>343</v>
      </c>
      <c r="B39" s="414">
        <v>106</v>
      </c>
      <c r="C39" s="414">
        <v>26.5</v>
      </c>
      <c r="D39" s="414">
        <v>104000</v>
      </c>
      <c r="E39" s="414">
        <v>0.26</v>
      </c>
      <c r="F39" s="414">
        <v>450</v>
      </c>
      <c r="G39" s="414">
        <v>100</v>
      </c>
      <c r="H39" s="414">
        <v>5250</v>
      </c>
    </row>
    <row r="40" spans="1:8">
      <c r="A40" s="415" t="s">
        <v>344</v>
      </c>
      <c r="B40" s="414">
        <v>17.600000000000001</v>
      </c>
      <c r="C40" s="414">
        <v>4.4000000000000004</v>
      </c>
      <c r="D40" s="414">
        <v>92000</v>
      </c>
      <c r="E40" s="414">
        <v>1.0999999999999999E-2</v>
      </c>
      <c r="F40" s="414">
        <v>0</v>
      </c>
      <c r="G40" s="414">
        <v>170</v>
      </c>
      <c r="H40" s="414">
        <v>830</v>
      </c>
    </row>
    <row r="41" spans="1:8">
      <c r="A41" s="719" t="s">
        <v>346</v>
      </c>
      <c r="B41" s="719"/>
      <c r="C41" s="719"/>
      <c r="D41" s="719"/>
      <c r="E41" s="719"/>
      <c r="F41" s="719"/>
      <c r="G41" s="719"/>
      <c r="H41" s="719"/>
    </row>
    <row r="42" spans="1:8">
      <c r="A42" s="415" t="s">
        <v>341</v>
      </c>
      <c r="B42" s="414">
        <v>672</v>
      </c>
      <c r="C42" s="414">
        <v>168</v>
      </c>
      <c r="D42" s="414">
        <v>0</v>
      </c>
      <c r="E42" s="414">
        <v>0.13</v>
      </c>
      <c r="F42" s="414">
        <v>20</v>
      </c>
      <c r="G42" s="414">
        <v>60</v>
      </c>
      <c r="H42" s="414">
        <v>5250</v>
      </c>
    </row>
    <row r="43" spans="1:8">
      <c r="A43" s="415" t="s">
        <v>342</v>
      </c>
      <c r="B43" s="414">
        <v>672</v>
      </c>
      <c r="C43" s="414">
        <v>168</v>
      </c>
      <c r="D43" s="414">
        <v>0</v>
      </c>
      <c r="E43" s="414">
        <v>0.13</v>
      </c>
      <c r="F43" s="414">
        <v>20</v>
      </c>
      <c r="G43" s="414">
        <v>60</v>
      </c>
      <c r="H43" s="414">
        <v>5250</v>
      </c>
    </row>
    <row r="44" spans="1:8">
      <c r="A44" s="415" t="s">
        <v>343</v>
      </c>
      <c r="B44" s="414">
        <v>168</v>
      </c>
      <c r="C44" s="414">
        <v>42</v>
      </c>
      <c r="D44" s="414">
        <v>0</v>
      </c>
      <c r="E44" s="414">
        <v>0.13</v>
      </c>
      <c r="F44" s="414">
        <v>20</v>
      </c>
      <c r="G44" s="414">
        <v>60</v>
      </c>
      <c r="H44" s="414">
        <v>5250</v>
      </c>
    </row>
    <row r="45" spans="1:8">
      <c r="A45" s="415" t="s">
        <v>344</v>
      </c>
      <c r="B45" s="414">
        <v>20</v>
      </c>
      <c r="C45" s="414">
        <v>5</v>
      </c>
      <c r="D45" s="414">
        <v>0</v>
      </c>
      <c r="E45" s="414">
        <v>1.2999999999999999E-2</v>
      </c>
      <c r="F45" s="414">
        <v>0</v>
      </c>
      <c r="G45" s="414">
        <v>75</v>
      </c>
      <c r="H45" s="414">
        <v>950</v>
      </c>
    </row>
    <row r="46" spans="1:8">
      <c r="A46" s="719" t="s">
        <v>347</v>
      </c>
      <c r="B46" s="719"/>
      <c r="C46" s="719"/>
      <c r="D46" s="719"/>
      <c r="E46" s="719"/>
      <c r="F46" s="719"/>
      <c r="G46" s="719"/>
      <c r="H46" s="719"/>
    </row>
    <row r="47" spans="1:8">
      <c r="A47" s="415" t="s">
        <v>341</v>
      </c>
      <c r="B47" s="414">
        <v>672</v>
      </c>
      <c r="C47" s="414">
        <v>168</v>
      </c>
      <c r="D47" s="414">
        <v>0</v>
      </c>
      <c r="E47" s="414">
        <v>0.13</v>
      </c>
      <c r="F47" s="414">
        <v>20</v>
      </c>
      <c r="G47" s="414">
        <v>60</v>
      </c>
      <c r="H47" s="414">
        <v>5250</v>
      </c>
    </row>
    <row r="48" spans="1:8">
      <c r="A48" s="415" t="s">
        <v>342</v>
      </c>
      <c r="B48" s="414">
        <v>672</v>
      </c>
      <c r="C48" s="414">
        <v>168</v>
      </c>
      <c r="D48" s="414">
        <v>0</v>
      </c>
      <c r="E48" s="414">
        <v>0.13</v>
      </c>
      <c r="F48" s="414">
        <v>20</v>
      </c>
      <c r="G48" s="414">
        <v>60</v>
      </c>
      <c r="H48" s="414">
        <v>5250</v>
      </c>
    </row>
    <row r="49" spans="1:8">
      <c r="A49" s="415" t="s">
        <v>343</v>
      </c>
      <c r="B49" s="414">
        <v>168</v>
      </c>
      <c r="C49" s="414">
        <v>42</v>
      </c>
      <c r="D49" s="414">
        <v>0</v>
      </c>
      <c r="E49" s="414">
        <v>0.13</v>
      </c>
      <c r="F49" s="414">
        <v>20</v>
      </c>
      <c r="G49" s="414">
        <v>60</v>
      </c>
      <c r="H49" s="414">
        <v>5250</v>
      </c>
    </row>
    <row r="50" spans="1:8">
      <c r="A50" s="415" t="s">
        <v>344</v>
      </c>
      <c r="B50" s="414">
        <v>20</v>
      </c>
      <c r="C50" s="414">
        <v>5</v>
      </c>
      <c r="D50" s="414">
        <v>0</v>
      </c>
      <c r="E50" s="414">
        <v>1.2999999999999999E-2</v>
      </c>
      <c r="F50" s="414">
        <v>0</v>
      </c>
      <c r="G50" s="414">
        <v>75</v>
      </c>
      <c r="H50" s="414">
        <v>950</v>
      </c>
    </row>
    <row r="51" spans="1:8">
      <c r="A51" s="719" t="s">
        <v>330</v>
      </c>
      <c r="B51" s="719"/>
      <c r="C51" s="719"/>
      <c r="D51" s="719"/>
      <c r="E51" s="719"/>
      <c r="F51" s="719"/>
      <c r="G51" s="719"/>
      <c r="H51" s="719"/>
    </row>
    <row r="52" spans="1:8">
      <c r="A52" s="415" t="s">
        <v>341</v>
      </c>
      <c r="B52" s="414">
        <v>424</v>
      </c>
      <c r="C52" s="414">
        <v>106</v>
      </c>
      <c r="D52" s="414">
        <v>104000</v>
      </c>
      <c r="E52" s="414">
        <v>0.26</v>
      </c>
      <c r="F52" s="414">
        <v>450</v>
      </c>
      <c r="G52" s="414">
        <v>100</v>
      </c>
      <c r="H52" s="414">
        <v>5250</v>
      </c>
    </row>
    <row r="53" spans="1:8">
      <c r="A53" s="415" t="s">
        <v>342</v>
      </c>
      <c r="B53" s="414">
        <v>424</v>
      </c>
      <c r="C53" s="414">
        <v>106</v>
      </c>
      <c r="D53" s="414">
        <v>104000</v>
      </c>
      <c r="E53" s="414">
        <v>0.26</v>
      </c>
      <c r="F53" s="414">
        <v>450</v>
      </c>
      <c r="G53" s="414">
        <v>100</v>
      </c>
      <c r="H53" s="414">
        <v>5250</v>
      </c>
    </row>
    <row r="54" spans="1:8">
      <c r="A54" s="415" t="s">
        <v>343</v>
      </c>
      <c r="B54" s="414">
        <v>106</v>
      </c>
      <c r="C54" s="414">
        <v>26.5</v>
      </c>
      <c r="D54" s="414">
        <v>104000</v>
      </c>
      <c r="E54" s="414">
        <v>0.26</v>
      </c>
      <c r="F54" s="414">
        <v>450</v>
      </c>
      <c r="G54" s="414">
        <v>100</v>
      </c>
      <c r="H54" s="414">
        <v>5250</v>
      </c>
    </row>
    <row r="55" spans="1:8">
      <c r="A55" s="415" t="s">
        <v>344</v>
      </c>
      <c r="B55" s="414">
        <v>17.600000000000001</v>
      </c>
      <c r="C55" s="414">
        <v>4.4000000000000004</v>
      </c>
      <c r="D55" s="414">
        <v>92000</v>
      </c>
      <c r="E55" s="414">
        <v>1.0999999999999999E-2</v>
      </c>
      <c r="F55" s="414">
        <v>0</v>
      </c>
      <c r="G55" s="414">
        <v>170</v>
      </c>
      <c r="H55" s="414">
        <v>830</v>
      </c>
    </row>
    <row r="56" spans="1:8">
      <c r="A56" s="719" t="s">
        <v>348</v>
      </c>
      <c r="B56" s="719"/>
      <c r="C56" s="719"/>
      <c r="D56" s="719"/>
      <c r="E56" s="719"/>
      <c r="F56" s="719"/>
      <c r="G56" s="719"/>
      <c r="H56" s="719"/>
    </row>
    <row r="57" spans="1:8">
      <c r="A57" s="415" t="s">
        <v>341</v>
      </c>
      <c r="B57" s="414">
        <v>672</v>
      </c>
      <c r="C57" s="414">
        <v>168</v>
      </c>
      <c r="D57" s="414">
        <v>0</v>
      </c>
      <c r="E57" s="414">
        <v>0.13</v>
      </c>
      <c r="F57" s="414">
        <v>20</v>
      </c>
      <c r="G57" s="414">
        <v>60</v>
      </c>
      <c r="H57" s="414">
        <v>5250</v>
      </c>
    </row>
    <row r="58" spans="1:8">
      <c r="A58" s="415" t="s">
        <v>342</v>
      </c>
      <c r="B58" s="414">
        <v>672</v>
      </c>
      <c r="C58" s="414">
        <v>168</v>
      </c>
      <c r="D58" s="414">
        <v>0</v>
      </c>
      <c r="E58" s="414">
        <v>0.13</v>
      </c>
      <c r="F58" s="414">
        <v>20</v>
      </c>
      <c r="G58" s="414">
        <v>60</v>
      </c>
      <c r="H58" s="414">
        <v>5250</v>
      </c>
    </row>
    <row r="59" spans="1:8">
      <c r="A59" s="415" t="s">
        <v>343</v>
      </c>
      <c r="B59" s="414">
        <v>168</v>
      </c>
      <c r="C59" s="414">
        <v>42</v>
      </c>
      <c r="D59" s="414">
        <v>0</v>
      </c>
      <c r="E59" s="414">
        <v>0.13</v>
      </c>
      <c r="F59" s="414">
        <v>20</v>
      </c>
      <c r="G59" s="414">
        <v>60</v>
      </c>
      <c r="H59" s="414">
        <v>5250</v>
      </c>
    </row>
    <row r="60" spans="1:8">
      <c r="A60" s="415" t="s">
        <v>344</v>
      </c>
      <c r="B60" s="414">
        <v>20</v>
      </c>
      <c r="C60" s="414">
        <v>5</v>
      </c>
      <c r="D60" s="414">
        <v>0</v>
      </c>
      <c r="E60" s="414">
        <v>1.2999999999999999E-2</v>
      </c>
      <c r="F60" s="414">
        <v>0</v>
      </c>
      <c r="G60" s="414">
        <v>75</v>
      </c>
      <c r="H60" s="414">
        <v>950</v>
      </c>
    </row>
    <row r="61" spans="1:8">
      <c r="A61" s="719" t="s">
        <v>349</v>
      </c>
      <c r="B61" s="719"/>
      <c r="C61" s="719"/>
      <c r="D61" s="719"/>
      <c r="E61" s="719"/>
      <c r="F61" s="719"/>
      <c r="G61" s="719"/>
      <c r="H61" s="719"/>
    </row>
    <row r="62" spans="1:8">
      <c r="A62" s="415" t="s">
        <v>341</v>
      </c>
      <c r="B62" s="414">
        <v>424</v>
      </c>
      <c r="C62" s="414">
        <v>106</v>
      </c>
      <c r="D62" s="414">
        <v>104000</v>
      </c>
      <c r="E62" s="414">
        <v>0.26</v>
      </c>
      <c r="F62" s="414">
        <v>450</v>
      </c>
      <c r="G62" s="414">
        <v>100</v>
      </c>
      <c r="H62" s="414">
        <v>5250</v>
      </c>
    </row>
    <row r="63" spans="1:8">
      <c r="A63" s="415" t="s">
        <v>342</v>
      </c>
      <c r="B63" s="414">
        <v>424</v>
      </c>
      <c r="C63" s="414">
        <v>106</v>
      </c>
      <c r="D63" s="414">
        <v>104000</v>
      </c>
      <c r="E63" s="414">
        <v>0.26</v>
      </c>
      <c r="F63" s="414">
        <v>450</v>
      </c>
      <c r="G63" s="414">
        <v>100</v>
      </c>
      <c r="H63" s="414">
        <v>5250</v>
      </c>
    </row>
    <row r="64" spans="1:8">
      <c r="A64" s="415" t="s">
        <v>343</v>
      </c>
      <c r="B64" s="414">
        <v>106</v>
      </c>
      <c r="C64" s="414">
        <v>26.5</v>
      </c>
      <c r="D64" s="414">
        <v>104000</v>
      </c>
      <c r="E64" s="414">
        <v>0.26</v>
      </c>
      <c r="F64" s="414">
        <v>450</v>
      </c>
      <c r="G64" s="414">
        <v>100</v>
      </c>
      <c r="H64" s="414">
        <v>5250</v>
      </c>
    </row>
    <row r="65" spans="1:8">
      <c r="A65" s="415" t="s">
        <v>344</v>
      </c>
      <c r="B65" s="414">
        <v>17.600000000000001</v>
      </c>
      <c r="C65" s="414">
        <v>4.4000000000000004</v>
      </c>
      <c r="D65" s="414">
        <v>92000</v>
      </c>
      <c r="E65" s="414">
        <v>1.0999999999999999E-2</v>
      </c>
      <c r="F65" s="414">
        <v>0</v>
      </c>
      <c r="G65" s="414">
        <v>170</v>
      </c>
      <c r="H65" s="414">
        <v>830</v>
      </c>
    </row>
    <row r="66" spans="1:8">
      <c r="A66" s="719" t="s">
        <v>350</v>
      </c>
      <c r="B66" s="719"/>
      <c r="C66" s="719"/>
      <c r="D66" s="719"/>
      <c r="E66" s="719"/>
      <c r="F66" s="719"/>
      <c r="G66" s="719"/>
      <c r="H66" s="719"/>
    </row>
    <row r="67" spans="1:8">
      <c r="A67" s="415" t="s">
        <v>341</v>
      </c>
      <c r="B67" s="414">
        <v>672</v>
      </c>
      <c r="C67" s="414">
        <v>168</v>
      </c>
      <c r="D67" s="414">
        <v>0</v>
      </c>
      <c r="E67" s="414">
        <v>0.13</v>
      </c>
      <c r="F67" s="414">
        <v>20</v>
      </c>
      <c r="G67" s="414">
        <v>60</v>
      </c>
      <c r="H67" s="414">
        <v>5250</v>
      </c>
    </row>
    <row r="68" spans="1:8">
      <c r="A68" s="415" t="s">
        <v>342</v>
      </c>
      <c r="B68" s="414">
        <v>672</v>
      </c>
      <c r="C68" s="414">
        <v>168</v>
      </c>
      <c r="D68" s="414">
        <v>0</v>
      </c>
      <c r="E68" s="414">
        <v>0.13</v>
      </c>
      <c r="F68" s="414">
        <v>20</v>
      </c>
      <c r="G68" s="414">
        <v>60</v>
      </c>
      <c r="H68" s="414">
        <v>5250</v>
      </c>
    </row>
    <row r="69" spans="1:8">
      <c r="A69" s="415" t="s">
        <v>343</v>
      </c>
      <c r="B69" s="414">
        <v>168</v>
      </c>
      <c r="C69" s="414">
        <v>42</v>
      </c>
      <c r="D69" s="414">
        <v>0</v>
      </c>
      <c r="E69" s="414">
        <v>0.13</v>
      </c>
      <c r="F69" s="414">
        <v>20</v>
      </c>
      <c r="G69" s="414">
        <v>60</v>
      </c>
      <c r="H69" s="414">
        <v>5250</v>
      </c>
    </row>
    <row r="70" spans="1:8">
      <c r="A70" s="415" t="s">
        <v>344</v>
      </c>
      <c r="B70" s="414">
        <v>20</v>
      </c>
      <c r="C70" s="414">
        <v>5</v>
      </c>
      <c r="D70" s="414">
        <v>0</v>
      </c>
      <c r="E70" s="414">
        <v>1.2999999999999999E-2</v>
      </c>
      <c r="F70" s="414">
        <v>0</v>
      </c>
      <c r="G70" s="414">
        <v>75</v>
      </c>
      <c r="H70" s="414">
        <v>5250</v>
      </c>
    </row>
    <row r="72" spans="1:8">
      <c r="A72" s="409" t="s">
        <v>549</v>
      </c>
      <c r="C72" s="596">
        <v>0.81200000000000006</v>
      </c>
      <c r="D72" s="409" t="s">
        <v>351</v>
      </c>
    </row>
  </sheetData>
  <mergeCells count="12">
    <mergeCell ref="A66:H66"/>
    <mergeCell ref="A36:H36"/>
    <mergeCell ref="A41:H41"/>
    <mergeCell ref="A46:H46"/>
    <mergeCell ref="A51:H51"/>
    <mergeCell ref="A56:H56"/>
    <mergeCell ref="A61:H61"/>
    <mergeCell ref="A31:H31"/>
    <mergeCell ref="A1:H1"/>
    <mergeCell ref="A2:H2"/>
    <mergeCell ref="A8:H8"/>
    <mergeCell ref="A20:H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177"/>
  <sheetViews>
    <sheetView view="pageBreakPreview" zoomScale="130" zoomScaleNormal="100" zoomScaleSheetLayoutView="130" workbookViewId="0">
      <pane xSplit="1" ySplit="4" topLeftCell="B5" activePane="bottomRight" state="frozen"/>
      <selection pane="topRight" activeCell="D1" sqref="D1"/>
      <selection pane="bottomLeft" activeCell="A5" sqref="A5"/>
      <selection pane="bottomRight" activeCell="L25" sqref="L25"/>
    </sheetView>
  </sheetViews>
  <sheetFormatPr defaultColWidth="9" defaultRowHeight="8.25"/>
  <cols>
    <col min="1" max="1" width="1.75" style="236" bestFit="1" customWidth="1"/>
    <col min="2" max="2" width="18.625" style="256" bestFit="1" customWidth="1"/>
    <col min="3" max="3" width="5.125" style="71" customWidth="1"/>
    <col min="4" max="4" width="6.625" style="236" customWidth="1"/>
    <col min="5" max="5" width="9.25" style="236" bestFit="1" customWidth="1"/>
    <col min="6" max="6" width="5.375" style="236" bestFit="1" customWidth="1"/>
    <col min="7" max="7" width="7.625" style="236" bestFit="1" customWidth="1"/>
    <col min="8" max="8" width="17.875" style="236" bestFit="1" customWidth="1"/>
    <col min="9" max="9" width="7.625" style="236" customWidth="1"/>
    <col min="10" max="10" width="4.625" style="236" customWidth="1"/>
    <col min="11" max="11" width="5.125" style="236" customWidth="1"/>
    <col min="12" max="12" width="5.25" style="236" bestFit="1" customWidth="1"/>
    <col min="13" max="16" width="4.75" style="236" customWidth="1"/>
    <col min="17" max="17" width="7.375" style="236" customWidth="1"/>
    <col min="18" max="18" width="6.375" style="236" bestFit="1" customWidth="1"/>
    <col min="19" max="19" width="5.125" style="236" hidden="1" customWidth="1"/>
    <col min="20" max="16384" width="9" style="236"/>
  </cols>
  <sheetData>
    <row r="1" spans="1:19" ht="11.25">
      <c r="A1" s="477" t="s">
        <v>311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</row>
    <row r="2" spans="1:19" ht="11.25">
      <c r="A2" s="477" t="s">
        <v>465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</row>
    <row r="3" spans="1:19" s="238" customFormat="1" ht="47.25" customHeight="1">
      <c r="A3" s="543" t="s">
        <v>4</v>
      </c>
      <c r="B3" s="534" t="s">
        <v>397</v>
      </c>
      <c r="C3" s="533" t="s">
        <v>24</v>
      </c>
      <c r="D3" s="533" t="s">
        <v>148</v>
      </c>
      <c r="E3" s="533" t="s">
        <v>398</v>
      </c>
      <c r="F3" s="533" t="s">
        <v>25</v>
      </c>
      <c r="G3" s="533" t="s">
        <v>30</v>
      </c>
      <c r="H3" s="533" t="s">
        <v>452</v>
      </c>
      <c r="I3" s="533" t="s">
        <v>352</v>
      </c>
      <c r="J3" s="533" t="s">
        <v>454</v>
      </c>
      <c r="K3" s="533" t="s">
        <v>455</v>
      </c>
      <c r="L3" s="533" t="s">
        <v>456</v>
      </c>
      <c r="M3" s="533" t="s">
        <v>457</v>
      </c>
      <c r="N3" s="533" t="s">
        <v>458</v>
      </c>
      <c r="O3" s="533" t="s">
        <v>459</v>
      </c>
      <c r="P3" s="533" t="s">
        <v>460</v>
      </c>
      <c r="Q3" s="533" t="s">
        <v>154</v>
      </c>
      <c r="R3" s="533" t="s">
        <v>423</v>
      </c>
      <c r="S3" s="533" t="s">
        <v>424</v>
      </c>
    </row>
    <row r="4" spans="1:19" s="383" customFormat="1">
      <c r="A4" s="181">
        <v>1</v>
      </c>
      <c r="B4" s="544" t="s">
        <v>324</v>
      </c>
      <c r="C4" s="181">
        <v>3</v>
      </c>
      <c r="D4" s="181">
        <v>4</v>
      </c>
      <c r="E4" s="181">
        <v>5</v>
      </c>
      <c r="F4" s="545">
        <v>6</v>
      </c>
      <c r="G4" s="181">
        <v>7</v>
      </c>
      <c r="H4" s="181"/>
      <c r="I4" s="181">
        <v>8</v>
      </c>
      <c r="J4" s="181"/>
      <c r="K4" s="181"/>
      <c r="L4" s="181"/>
      <c r="M4" s="181"/>
      <c r="N4" s="181"/>
      <c r="O4" s="181"/>
      <c r="P4" s="181"/>
      <c r="Q4" s="181">
        <v>9</v>
      </c>
      <c r="R4" s="181">
        <v>10</v>
      </c>
      <c r="S4" s="467"/>
    </row>
    <row r="5" spans="1:19" ht="16.5">
      <c r="A5" s="347">
        <v>1</v>
      </c>
      <c r="B5" s="535" t="s">
        <v>435</v>
      </c>
      <c r="C5" s="234">
        <v>1933</v>
      </c>
      <c r="D5" s="234">
        <v>760</v>
      </c>
      <c r="E5" s="71" t="s">
        <v>33</v>
      </c>
      <c r="F5" s="71"/>
      <c r="G5" s="536"/>
      <c r="H5" s="536" t="s">
        <v>339</v>
      </c>
      <c r="I5" s="172">
        <f>IF(F5="węgiel",G5*#REF!,IF(F5="gaz",G5*#REF!,IF(F5="biomasa",G5*#REF!,IF(F5="pelet",G5*#REF!,IF(F5="olej opałowy",G5*#REF!,IF(F5="sieć ciepłownicza",0,0))))))</f>
        <v>0</v>
      </c>
      <c r="J5" s="536">
        <f>I5*'Wskaźniki emisji, założenia'!$B$10/1000000</f>
        <v>0</v>
      </c>
      <c r="K5" s="536">
        <f>I5*'Wskaźniki emisji, założenia'!$C$10/1000000</f>
        <v>0</v>
      </c>
      <c r="L5" s="536">
        <f>I5*'Wskaźniki emisji, założenia'!$D$10/1000000</f>
        <v>0</v>
      </c>
      <c r="M5" s="536">
        <f>I5*'Wskaźniki emisji, założenia'!$E$10/1000000</f>
        <v>0</v>
      </c>
      <c r="N5" s="536">
        <f>I5*'Wskaźniki emisji, założenia'!$F$10/1000000</f>
        <v>0</v>
      </c>
      <c r="O5" s="536">
        <f>I5*'Wskaźniki emisji, założenia'!$G$10/1000000</f>
        <v>0</v>
      </c>
      <c r="P5" s="536">
        <f>I5*'Wskaźniki emisji, założenia'!$H$10/1000000</f>
        <v>0</v>
      </c>
      <c r="Q5" s="172"/>
      <c r="R5" s="183" t="s">
        <v>31</v>
      </c>
      <c r="S5" s="396"/>
    </row>
    <row r="6" spans="1:19" ht="24.75">
      <c r="A6" s="360">
        <v>2</v>
      </c>
      <c r="B6" s="535" t="s">
        <v>436</v>
      </c>
      <c r="C6" s="234">
        <v>1973</v>
      </c>
      <c r="D6" s="234">
        <v>500</v>
      </c>
      <c r="E6" s="71" t="s">
        <v>33</v>
      </c>
      <c r="F6" s="71"/>
      <c r="G6" s="536"/>
      <c r="H6" s="536" t="s">
        <v>339</v>
      </c>
      <c r="I6" s="172">
        <f>IF(F6="węgiel",G6*#REF!,IF(F6="gaz",G6*#REF!,IF(F6="biomasa",G6*#REF!,IF(F6="pelet",G6*#REF!,IF(F6="olej opałowy",G6*#REF!,IF(F6="sieć ciepłownicza",0,0))))))</f>
        <v>0</v>
      </c>
      <c r="J6" s="536">
        <f>I6*'Wskaźniki emisji, założenia'!$B$10/1000000</f>
        <v>0</v>
      </c>
      <c r="K6" s="536">
        <f>I6*'Wskaźniki emisji, założenia'!$C$10/1000000</f>
        <v>0</v>
      </c>
      <c r="L6" s="536">
        <f>I6*'Wskaźniki emisji, założenia'!$D$10/1000000</f>
        <v>0</v>
      </c>
      <c r="M6" s="536">
        <f>I6*'Wskaźniki emisji, założenia'!$E$10/1000000</f>
        <v>0</v>
      </c>
      <c r="N6" s="536">
        <f>I6*'Wskaźniki emisji, założenia'!$F$10/1000000</f>
        <v>0</v>
      </c>
      <c r="O6" s="536">
        <f>I6*'Wskaźniki emisji, założenia'!$G$10/1000000</f>
        <v>0</v>
      </c>
      <c r="P6" s="536">
        <f>I6*'Wskaźniki emisji, założenia'!$H$10/1000000</f>
        <v>0</v>
      </c>
      <c r="Q6" s="172"/>
      <c r="R6" s="183" t="s">
        <v>31</v>
      </c>
      <c r="S6" s="396"/>
    </row>
    <row r="7" spans="1:19">
      <c r="A7" s="347">
        <v>3</v>
      </c>
      <c r="B7" s="535" t="s">
        <v>437</v>
      </c>
      <c r="C7" s="234">
        <v>1965</v>
      </c>
      <c r="D7" s="234">
        <v>552.89</v>
      </c>
      <c r="E7" s="71" t="s">
        <v>31</v>
      </c>
      <c r="F7" s="71"/>
      <c r="G7" s="536"/>
      <c r="H7" s="536" t="s">
        <v>339</v>
      </c>
      <c r="I7" s="172">
        <f>IF(F7="węgiel",G7*#REF!,IF(F7="gaz",G7*#REF!,IF(F7="biomasa",G7*#REF!,IF(F7="pelet",G7*#REF!,IF(F7="olej opałowy",G7*#REF!,IF(F7="sieć ciepłownicza",0,0))))))</f>
        <v>0</v>
      </c>
      <c r="J7" s="536">
        <f>I7*'Wskaźniki emisji, założenia'!$B$10/1000000</f>
        <v>0</v>
      </c>
      <c r="K7" s="536">
        <f>I7*'Wskaźniki emisji, założenia'!$C$10/1000000</f>
        <v>0</v>
      </c>
      <c r="L7" s="536">
        <f>I7*'Wskaźniki emisji, założenia'!$D$10/1000000</f>
        <v>0</v>
      </c>
      <c r="M7" s="536">
        <f>I7*'Wskaźniki emisji, założenia'!$E$10/1000000</f>
        <v>0</v>
      </c>
      <c r="N7" s="536">
        <f>I7*'Wskaźniki emisji, założenia'!$F$10/1000000</f>
        <v>0</v>
      </c>
      <c r="O7" s="536">
        <f>I7*'Wskaźniki emisji, założenia'!$G$10/1000000</f>
        <v>0</v>
      </c>
      <c r="P7" s="536">
        <f>I7*'Wskaźniki emisji, założenia'!$H$10/1000000</f>
        <v>0</v>
      </c>
      <c r="Q7" s="172"/>
      <c r="R7" s="183" t="s">
        <v>31</v>
      </c>
      <c r="S7" s="396"/>
    </row>
    <row r="8" spans="1:19">
      <c r="A8" s="360">
        <v>4</v>
      </c>
      <c r="B8" s="535" t="s">
        <v>438</v>
      </c>
      <c r="C8" s="234"/>
      <c r="D8" s="234">
        <v>988.55</v>
      </c>
      <c r="E8" s="71" t="s">
        <v>32</v>
      </c>
      <c r="F8" s="71"/>
      <c r="G8" s="536"/>
      <c r="H8" s="536" t="s">
        <v>339</v>
      </c>
      <c r="I8" s="172">
        <f>IF(F8="węgiel",G8*#REF!,IF(F8="gaz",G8*#REF!,IF(F8="biomasa",G8*#REF!,IF(F8="pelet",G8*#REF!,IF(F8="olej opałowy",G8*#REF!,IF(F8="sieć ciepłownicza",0,0))))))</f>
        <v>0</v>
      </c>
      <c r="J8" s="536">
        <f>I8*'Wskaźniki emisji, założenia'!$B$10/1000000</f>
        <v>0</v>
      </c>
      <c r="K8" s="536">
        <f>I8*'Wskaźniki emisji, założenia'!$C$10/1000000</f>
        <v>0</v>
      </c>
      <c r="L8" s="536">
        <f>I8*'Wskaźniki emisji, założenia'!$D$10/1000000</f>
        <v>0</v>
      </c>
      <c r="M8" s="536">
        <f>I8*'Wskaźniki emisji, założenia'!$E$10/1000000</f>
        <v>0</v>
      </c>
      <c r="N8" s="536">
        <f>I8*'Wskaźniki emisji, założenia'!$F$10/1000000</f>
        <v>0</v>
      </c>
      <c r="O8" s="536">
        <f>I8*'Wskaźniki emisji, założenia'!$G$10/1000000</f>
        <v>0</v>
      </c>
      <c r="P8" s="536">
        <f>I8*'Wskaźniki emisji, założenia'!$H$10/1000000</f>
        <v>0</v>
      </c>
      <c r="Q8" s="172"/>
      <c r="R8" s="183" t="s">
        <v>31</v>
      </c>
      <c r="S8" s="396"/>
    </row>
    <row r="9" spans="1:19" ht="16.5">
      <c r="A9" s="347">
        <v>5</v>
      </c>
      <c r="B9" s="535" t="s">
        <v>439</v>
      </c>
      <c r="C9" s="234">
        <v>1972</v>
      </c>
      <c r="D9" s="234">
        <v>3622.68</v>
      </c>
      <c r="E9" s="71" t="s">
        <v>33</v>
      </c>
      <c r="F9" s="71"/>
      <c r="G9" s="536"/>
      <c r="H9" s="536" t="s">
        <v>339</v>
      </c>
      <c r="I9" s="172">
        <f>IF(F9="węgiel",G9*#REF!,IF(F9="gaz",G9*#REF!,IF(F9="biomasa",G9*#REF!,IF(F9="pelet",G9*#REF!,IF(F9="olej opałowy",G9*#REF!,IF(F9="sieć ciepłownicza",0,0))))))</f>
        <v>0</v>
      </c>
      <c r="J9" s="536">
        <f>I9*'Wskaźniki emisji, założenia'!$B$10/1000000</f>
        <v>0</v>
      </c>
      <c r="K9" s="536">
        <f>I9*'Wskaźniki emisji, założenia'!$C$10/1000000</f>
        <v>0</v>
      </c>
      <c r="L9" s="536">
        <f>I9*'Wskaźniki emisji, założenia'!$D$10/1000000</f>
        <v>0</v>
      </c>
      <c r="M9" s="536">
        <f>I9*'Wskaźniki emisji, założenia'!$E$10/1000000</f>
        <v>0</v>
      </c>
      <c r="N9" s="536">
        <f>I9*'Wskaźniki emisji, założenia'!$F$10/1000000</f>
        <v>0</v>
      </c>
      <c r="O9" s="536">
        <f>I9*'Wskaźniki emisji, założenia'!$G$10/1000000</f>
        <v>0</v>
      </c>
      <c r="P9" s="536">
        <f>I9*'Wskaźniki emisji, założenia'!$H$10/1000000</f>
        <v>0</v>
      </c>
      <c r="Q9" s="172"/>
      <c r="R9" s="183" t="s">
        <v>31</v>
      </c>
      <c r="S9" s="396"/>
    </row>
    <row r="10" spans="1:19">
      <c r="A10" s="360">
        <v>6</v>
      </c>
      <c r="B10" s="535" t="s">
        <v>440</v>
      </c>
      <c r="C10" s="234">
        <v>1972</v>
      </c>
      <c r="D10" s="234">
        <v>388</v>
      </c>
      <c r="E10" s="71" t="s">
        <v>31</v>
      </c>
      <c r="F10" s="71"/>
      <c r="G10" s="536"/>
      <c r="H10" s="536" t="s">
        <v>339</v>
      </c>
      <c r="I10" s="172">
        <f>IF(F10="węgiel",G10*#REF!,IF(F10="gaz",G10*#REF!,IF(F10="biomasa",G10*#REF!,IF(F10="pelet",G10*#REF!,IF(F10="olej opałowy",G10*#REF!,IF(F10="sieć ciepłownicza",0,0))))))</f>
        <v>0</v>
      </c>
      <c r="J10" s="536">
        <f>I10*'Wskaźniki emisji, założenia'!$B$10/1000000</f>
        <v>0</v>
      </c>
      <c r="K10" s="536">
        <f>I10*'Wskaźniki emisji, założenia'!$C$10/1000000</f>
        <v>0</v>
      </c>
      <c r="L10" s="536">
        <f>I10*'Wskaźniki emisji, założenia'!$D$10/1000000</f>
        <v>0</v>
      </c>
      <c r="M10" s="536">
        <f>I10*'Wskaźniki emisji, założenia'!$E$10/1000000</f>
        <v>0</v>
      </c>
      <c r="N10" s="536">
        <f>I10*'Wskaźniki emisji, założenia'!$F$10/1000000</f>
        <v>0</v>
      </c>
      <c r="O10" s="536">
        <f>I10*'Wskaźniki emisji, założenia'!$G$10/1000000</f>
        <v>0</v>
      </c>
      <c r="P10" s="536">
        <f>I10*'Wskaźniki emisji, założenia'!$H$10/1000000</f>
        <v>0</v>
      </c>
      <c r="Q10" s="172"/>
      <c r="R10" s="183" t="s">
        <v>31</v>
      </c>
      <c r="S10" s="396"/>
    </row>
    <row r="11" spans="1:19" ht="16.5">
      <c r="A11" s="347">
        <v>7</v>
      </c>
      <c r="B11" s="535" t="s">
        <v>441</v>
      </c>
      <c r="C11" s="234">
        <v>1959</v>
      </c>
      <c r="D11" s="234">
        <v>4025.73</v>
      </c>
      <c r="E11" s="71" t="s">
        <v>31</v>
      </c>
      <c r="F11" s="71"/>
      <c r="G11" s="536"/>
      <c r="H11" s="536" t="s">
        <v>339</v>
      </c>
      <c r="I11" s="172">
        <f>IF(F11="węgiel",G11*#REF!,IF(F11="gaz",G11*#REF!,IF(F11="biomasa",G11*#REF!,IF(F11="pelet",G11*#REF!,IF(F11="olej opałowy",G11*#REF!,IF(F11="sieć ciepłownicza",0,0))))))</f>
        <v>0</v>
      </c>
      <c r="J11" s="536">
        <f>I11*'Wskaźniki emisji, założenia'!$B$10/1000000</f>
        <v>0</v>
      </c>
      <c r="K11" s="536">
        <f>I11*'Wskaźniki emisji, założenia'!$C$10/1000000</f>
        <v>0</v>
      </c>
      <c r="L11" s="536">
        <f>I11*'Wskaźniki emisji, założenia'!$D$10/1000000</f>
        <v>0</v>
      </c>
      <c r="M11" s="536">
        <f>I11*'Wskaźniki emisji, założenia'!$E$10/1000000</f>
        <v>0</v>
      </c>
      <c r="N11" s="536">
        <f>I11*'Wskaźniki emisji, założenia'!$F$10/1000000</f>
        <v>0</v>
      </c>
      <c r="O11" s="536">
        <f>I11*'Wskaźniki emisji, założenia'!$G$10/1000000</f>
        <v>0</v>
      </c>
      <c r="P11" s="536">
        <f>I11*'Wskaźniki emisji, założenia'!$H$10/1000000</f>
        <v>0</v>
      </c>
      <c r="Q11" s="172"/>
      <c r="R11" s="183" t="s">
        <v>31</v>
      </c>
      <c r="S11" s="396"/>
    </row>
    <row r="12" spans="1:19" ht="7.5" customHeight="1">
      <c r="A12" s="360">
        <v>8</v>
      </c>
      <c r="B12" s="535" t="s">
        <v>442</v>
      </c>
      <c r="C12" s="234"/>
      <c r="D12" s="234">
        <v>780</v>
      </c>
      <c r="E12" s="71" t="s">
        <v>32</v>
      </c>
      <c r="F12" s="71"/>
      <c r="G12" s="536"/>
      <c r="H12" s="536" t="s">
        <v>339</v>
      </c>
      <c r="I12" s="172">
        <f>IF(F12="węgiel",G12*#REF!,IF(F12="gaz",G12*#REF!,IF(F12="biomasa",G12*#REF!,IF(F12="pelet",G12*#REF!,IF(F12="olej opałowy",G12*#REF!,IF(F12="sieć ciepłownicza",0,0))))))</f>
        <v>0</v>
      </c>
      <c r="J12" s="536">
        <f>I12*'Wskaźniki emisji, założenia'!$B$10/1000000</f>
        <v>0</v>
      </c>
      <c r="K12" s="536">
        <f>I12*'Wskaźniki emisji, założenia'!$C$10/1000000</f>
        <v>0</v>
      </c>
      <c r="L12" s="536">
        <f>I12*'Wskaźniki emisji, założenia'!$D$10/1000000</f>
        <v>0</v>
      </c>
      <c r="M12" s="536">
        <f>I12*'Wskaźniki emisji, założenia'!$E$10/1000000</f>
        <v>0</v>
      </c>
      <c r="N12" s="536">
        <f>I12*'Wskaźniki emisji, założenia'!$F$10/1000000</f>
        <v>0</v>
      </c>
      <c r="O12" s="536">
        <f>I12*'Wskaźniki emisji, założenia'!$G$10/1000000</f>
        <v>0</v>
      </c>
      <c r="P12" s="536">
        <f>I12*'Wskaźniki emisji, założenia'!$H$10/1000000</f>
        <v>0</v>
      </c>
      <c r="Q12" s="172"/>
      <c r="R12" s="183" t="s">
        <v>31</v>
      </c>
      <c r="S12" s="396"/>
    </row>
    <row r="13" spans="1:19" ht="16.5">
      <c r="A13" s="347">
        <v>9</v>
      </c>
      <c r="B13" s="535" t="s">
        <v>443</v>
      </c>
      <c r="C13" s="234"/>
      <c r="D13" s="234">
        <v>24</v>
      </c>
      <c r="E13" s="71" t="s">
        <v>31</v>
      </c>
      <c r="F13" s="71"/>
      <c r="G13" s="536"/>
      <c r="H13" s="536" t="s">
        <v>339</v>
      </c>
      <c r="I13" s="172">
        <f>IF(F13="węgiel",G13*#REF!,IF(F13="gaz",G13*#REF!,IF(F13="biomasa",G13*#REF!,IF(F13="pelet",G13*#REF!,IF(F13="olej opałowy",G13*#REF!,IF(F13="sieć ciepłownicza",0,0))))))</f>
        <v>0</v>
      </c>
      <c r="J13" s="536">
        <f>I13*'Wskaźniki emisji, założenia'!$B$22/1000000</f>
        <v>0</v>
      </c>
      <c r="K13" s="536">
        <f>I13*'Wskaźniki emisji, założenia'!$C$22/1000000</f>
        <v>0</v>
      </c>
      <c r="L13" s="536">
        <f>I13*'Wskaźniki emisji, założenia'!$D$22/1000000</f>
        <v>0</v>
      </c>
      <c r="M13" s="536">
        <f>I13*'Wskaźniki emisji, założenia'!$E$22/1000000</f>
        <v>0</v>
      </c>
      <c r="N13" s="536">
        <f>I13*'Wskaźniki emisji, założenia'!$F$22/1000000</f>
        <v>0</v>
      </c>
      <c r="O13" s="536">
        <f>I13*'Wskaźniki emisji, założenia'!$G$22/1000000</f>
        <v>0</v>
      </c>
      <c r="P13" s="536">
        <f>I13*'Wskaźniki emisji, założenia'!$H$22/1000000</f>
        <v>0</v>
      </c>
      <c r="Q13" s="172"/>
      <c r="R13" s="183" t="s">
        <v>31</v>
      </c>
      <c r="S13" s="396"/>
    </row>
    <row r="14" spans="1:19">
      <c r="A14" s="360">
        <v>10</v>
      </c>
      <c r="B14" s="535" t="s">
        <v>444</v>
      </c>
      <c r="C14" s="234">
        <v>1979</v>
      </c>
      <c r="D14" s="234">
        <v>649</v>
      </c>
      <c r="E14" s="71" t="s">
        <v>32</v>
      </c>
      <c r="F14" s="71"/>
      <c r="G14" s="536"/>
      <c r="H14" s="536" t="s">
        <v>339</v>
      </c>
      <c r="I14" s="172">
        <f>IF(F14="węgiel",G14*#REF!,IF(F14="gaz",G14*#REF!,IF(F14="biomasa",G14*#REF!,IF(F14="pelet",G14*#REF!,IF(F14="olej opałowy",G14*#REF!,IF(F14="sieć ciepłownicza",0,0))))))</f>
        <v>0</v>
      </c>
      <c r="J14" s="536">
        <f>I14*'Wskaźniki emisji, założenia'!$B$10/1000000</f>
        <v>0</v>
      </c>
      <c r="K14" s="536">
        <f>I14*'Wskaźniki emisji, założenia'!$C$10/1000000</f>
        <v>0</v>
      </c>
      <c r="L14" s="536">
        <f>I14*'Wskaźniki emisji, założenia'!$D$10/1000000</f>
        <v>0</v>
      </c>
      <c r="M14" s="536">
        <f>I14*'Wskaźniki emisji, założenia'!$E$10/1000000</f>
        <v>0</v>
      </c>
      <c r="N14" s="536">
        <f>I14*'Wskaźniki emisji, założenia'!$F$10/1000000</f>
        <v>0</v>
      </c>
      <c r="O14" s="536">
        <f>I14*'Wskaźniki emisji, założenia'!$G$10/1000000</f>
        <v>0</v>
      </c>
      <c r="P14" s="536">
        <f>I14*'Wskaźniki emisji, założenia'!$H$10/1000000</f>
        <v>0</v>
      </c>
      <c r="Q14" s="172"/>
      <c r="R14" s="183" t="s">
        <v>31</v>
      </c>
      <c r="S14" s="396"/>
    </row>
    <row r="15" spans="1:19" ht="33">
      <c r="A15" s="347">
        <v>11</v>
      </c>
      <c r="B15" s="535" t="s">
        <v>445</v>
      </c>
      <c r="C15" s="234">
        <v>2010</v>
      </c>
      <c r="D15" s="234">
        <v>506</v>
      </c>
      <c r="E15" s="71" t="s">
        <v>32</v>
      </c>
      <c r="F15" s="71"/>
      <c r="G15" s="536"/>
      <c r="H15" s="536" t="s">
        <v>339</v>
      </c>
      <c r="I15" s="172">
        <f>IF(F15="węgiel",G15*#REF!,IF(F15="gaz",G15*#REF!,IF(F15="biomasa",G15*#REF!,IF(F15="pelet",G15*#REF!,IF(F15="olej opałowy",G15*#REF!,IF(F15="sieć ciepłownicza",0,0))))))</f>
        <v>0</v>
      </c>
      <c r="J15" s="536">
        <f>I15*'Wskaźniki emisji, założenia'!$B$10/1000000</f>
        <v>0</v>
      </c>
      <c r="K15" s="536">
        <f>I15*'Wskaźniki emisji, założenia'!$C$10/1000000</f>
        <v>0</v>
      </c>
      <c r="L15" s="536">
        <f>I15*'Wskaźniki emisji, założenia'!$D$10/1000000</f>
        <v>0</v>
      </c>
      <c r="M15" s="536">
        <f>I15*'Wskaźniki emisji, założenia'!$E$10/1000000</f>
        <v>0</v>
      </c>
      <c r="N15" s="536">
        <f>I15*'Wskaźniki emisji, założenia'!$F$10/1000000</f>
        <v>0</v>
      </c>
      <c r="O15" s="536">
        <f>I15*'Wskaźniki emisji, założenia'!$G$10/1000000</f>
        <v>0</v>
      </c>
      <c r="P15" s="536">
        <f>I15*'Wskaźniki emisji, założenia'!$H$10/1000000</f>
        <v>0</v>
      </c>
      <c r="Q15" s="172"/>
      <c r="R15" s="183" t="s">
        <v>31</v>
      </c>
      <c r="S15" s="396"/>
    </row>
    <row r="16" spans="1:19" ht="8.25" customHeight="1">
      <c r="A16" s="725">
        <v>12</v>
      </c>
      <c r="B16" s="535" t="s">
        <v>446</v>
      </c>
      <c r="C16" s="234">
        <v>1958</v>
      </c>
      <c r="D16" s="234">
        <v>173</v>
      </c>
      <c r="E16" s="71" t="s">
        <v>31</v>
      </c>
      <c r="F16" s="71"/>
      <c r="G16" s="536"/>
      <c r="H16" s="536" t="s">
        <v>339</v>
      </c>
      <c r="I16" s="172">
        <f>IF(F16="węgiel",G16*#REF!,IF(F16="gaz",G16*#REF!,IF(F16="biomasa",G16*#REF!,IF(F16="pelet",G16*#REF!,IF(F16="olej opałowy",G16*#REF!,IF(F16="sieć ciepłownicza",0,0))))))</f>
        <v>0</v>
      </c>
      <c r="J16" s="536">
        <f>I16*'Wskaźniki emisji, założenia'!$B$10/1000000</f>
        <v>0</v>
      </c>
      <c r="K16" s="536">
        <f>I16*'Wskaźniki emisji, założenia'!$C$10/1000000</f>
        <v>0</v>
      </c>
      <c r="L16" s="536">
        <f>I16*'Wskaźniki emisji, założenia'!$D$10/1000000</f>
        <v>0</v>
      </c>
      <c r="M16" s="536">
        <f>I16*'Wskaźniki emisji, założenia'!$E$10/1000000</f>
        <v>0</v>
      </c>
      <c r="N16" s="536">
        <f>I16*'Wskaźniki emisji, założenia'!$F$10/1000000</f>
        <v>0</v>
      </c>
      <c r="O16" s="536">
        <f>I16*'Wskaźniki emisji, założenia'!$G$10/1000000</f>
        <v>0</v>
      </c>
      <c r="P16" s="536">
        <f>I16*'Wskaźniki emisji, założenia'!$H$10/1000000</f>
        <v>0</v>
      </c>
      <c r="Q16" s="172"/>
      <c r="R16" s="183" t="s">
        <v>31</v>
      </c>
      <c r="S16" s="396"/>
    </row>
    <row r="17" spans="1:19" ht="8.25" customHeight="1">
      <c r="A17" s="725"/>
      <c r="B17" s="537" t="s">
        <v>447</v>
      </c>
      <c r="C17" s="234">
        <v>1966</v>
      </c>
      <c r="D17" s="234">
        <v>115</v>
      </c>
      <c r="E17" s="71" t="s">
        <v>31</v>
      </c>
      <c r="F17" s="71"/>
      <c r="G17" s="536"/>
      <c r="H17" s="536" t="s">
        <v>339</v>
      </c>
      <c r="I17" s="172">
        <f>IF(F17="węgiel",G17*#REF!,IF(F17="gaz",G17*#REF!,IF(F17="biomasa",G17*#REF!,IF(F17="pelet",G17*#REF!,IF(F17="olej opałowy",G17*#REF!,IF(F17="sieć ciepłownicza",0,0))))))</f>
        <v>0</v>
      </c>
      <c r="J17" s="536">
        <f>I17*'Wskaźniki emisji, założenia'!$B$10/1000000</f>
        <v>0</v>
      </c>
      <c r="K17" s="536">
        <f>I17*'Wskaźniki emisji, założenia'!$C$10/1000000</f>
        <v>0</v>
      </c>
      <c r="L17" s="536">
        <f>I17*'Wskaźniki emisji, założenia'!$D$10/1000000</f>
        <v>0</v>
      </c>
      <c r="M17" s="536">
        <f>I17*'Wskaźniki emisji, założenia'!$E$10/1000000</f>
        <v>0</v>
      </c>
      <c r="N17" s="536">
        <f>I17*'Wskaźniki emisji, założenia'!$F$10/1000000</f>
        <v>0</v>
      </c>
      <c r="O17" s="536">
        <f>I17*'Wskaźniki emisji, założenia'!$G$10/1000000</f>
        <v>0</v>
      </c>
      <c r="P17" s="536">
        <f>I17*'Wskaźniki emisji, założenia'!$H$10/1000000</f>
        <v>0</v>
      </c>
      <c r="Q17" s="172"/>
      <c r="R17" s="183" t="s">
        <v>31</v>
      </c>
      <c r="S17" s="396"/>
    </row>
    <row r="18" spans="1:19" ht="8.25" customHeight="1">
      <c r="A18" s="360">
        <v>13</v>
      </c>
      <c r="B18" s="535" t="s">
        <v>448</v>
      </c>
      <c r="C18" s="234">
        <v>1966</v>
      </c>
      <c r="D18" s="234">
        <v>15</v>
      </c>
      <c r="E18" s="71" t="s">
        <v>31</v>
      </c>
      <c r="F18" s="71"/>
      <c r="G18" s="536"/>
      <c r="H18" s="536"/>
      <c r="I18" s="71">
        <v>8.73</v>
      </c>
      <c r="J18" s="536">
        <f>I18*'Wskaźniki emisji, założenia'!$B$10/1000000</f>
        <v>3.5269200000000002E-3</v>
      </c>
      <c r="K18" s="536">
        <f>I18*'Wskaźniki emisji, założenia'!$C$10/1000000</f>
        <v>3.4745399999999999E-3</v>
      </c>
      <c r="L18" s="536">
        <f>I18*'Wskaźniki emisji, założenia'!$D$10/1000000</f>
        <v>0.79442999999999997</v>
      </c>
      <c r="M18" s="536">
        <f>I18*'Wskaźniki emisji, założenia'!$E$10/1000000</f>
        <v>2.0079000000000003E-6</v>
      </c>
      <c r="N18" s="536">
        <f>I18*'Wskaźniki emisji, założenia'!$F$10/1000000</f>
        <v>3.4919999999999999E-3</v>
      </c>
      <c r="O18" s="536">
        <f>I18*'Wskaźniki emisji, założenia'!$G$10/1000000</f>
        <v>9.6030000000000009E-4</v>
      </c>
      <c r="P18" s="536">
        <f>I18*'Wskaźniki emisji, założenia'!$H$10/1000000</f>
        <v>4.0157999999999999E-2</v>
      </c>
      <c r="Q18" s="172"/>
      <c r="R18" s="183" t="s">
        <v>31</v>
      </c>
      <c r="S18" s="396"/>
    </row>
    <row r="19" spans="1:19">
      <c r="A19" s="347">
        <v>14</v>
      </c>
      <c r="B19" s="537" t="s">
        <v>449</v>
      </c>
      <c r="C19" s="234"/>
      <c r="D19" s="234">
        <v>440</v>
      </c>
      <c r="E19" s="71" t="s">
        <v>31</v>
      </c>
      <c r="F19" s="71"/>
      <c r="G19" s="536"/>
      <c r="H19" s="536" t="s">
        <v>339</v>
      </c>
      <c r="I19" s="172">
        <f>IF(F19="węgiel",G19*#REF!,IF(F19="gaz",G19*#REF!,IF(F19="biomasa",G19*#REF!,IF(F19="pelet",G19*#REF!,IF(F19="olej opałowy",G19*#REF!,IF(F19="sieć ciepłownicza",0,0))))))</f>
        <v>0</v>
      </c>
      <c r="J19" s="536">
        <f>I19*'Wskaźniki emisji, założenia'!$B$10/1000000</f>
        <v>0</v>
      </c>
      <c r="K19" s="536">
        <f>I19*'Wskaźniki emisji, założenia'!$C$10/1000000</f>
        <v>0</v>
      </c>
      <c r="L19" s="536">
        <f>I19*'Wskaźniki emisji, założenia'!$D$10/1000000</f>
        <v>0</v>
      </c>
      <c r="M19" s="536">
        <f>I19*'Wskaźniki emisji, założenia'!$E$10/1000000</f>
        <v>0</v>
      </c>
      <c r="N19" s="536">
        <f>I19*'Wskaźniki emisji, założenia'!$F$10/1000000</f>
        <v>0</v>
      </c>
      <c r="O19" s="536">
        <f>I19*'Wskaźniki emisji, założenia'!$G$10/1000000</f>
        <v>0</v>
      </c>
      <c r="P19" s="536">
        <f>I19*'Wskaźniki emisji, założenia'!$H$10/1000000</f>
        <v>0</v>
      </c>
      <c r="Q19" s="172"/>
      <c r="R19" s="183" t="s">
        <v>31</v>
      </c>
      <c r="S19" s="396"/>
    </row>
    <row r="20" spans="1:19">
      <c r="A20" s="360">
        <v>15</v>
      </c>
      <c r="B20" s="537" t="s">
        <v>450</v>
      </c>
      <c r="C20" s="234"/>
      <c r="D20" s="234"/>
      <c r="E20" s="474"/>
      <c r="F20" s="475"/>
      <c r="G20" s="476"/>
      <c r="H20" s="476"/>
      <c r="I20" s="172">
        <f>IF(F20="węgiel",G20*#REF!,IF(F20="gaz",G20*#REF!,IF(F20="drewno",G20*#REF!,IF(F20="pelet",G20*#REF!,IF(F20="olej opałowy",G20*#REF!,IF(F20="sieć ciepłownicza",0,0))))))</f>
        <v>0</v>
      </c>
      <c r="J20" s="476"/>
      <c r="K20" s="476"/>
      <c r="L20" s="476"/>
      <c r="M20" s="476"/>
      <c r="N20" s="476"/>
      <c r="O20" s="476"/>
      <c r="P20" s="476"/>
      <c r="Q20" s="172"/>
      <c r="R20" s="183" t="s">
        <v>31</v>
      </c>
      <c r="S20" s="396"/>
    </row>
    <row r="21" spans="1:19">
      <c r="A21" s="360"/>
      <c r="B21" s="546"/>
      <c r="C21" s="234"/>
      <c r="D21" s="234"/>
      <c r="E21" s="71"/>
      <c r="F21" s="71"/>
      <c r="G21" s="473"/>
      <c r="H21" s="473"/>
      <c r="I21" s="172">
        <f>SUM(I5:I20)</f>
        <v>8.73</v>
      </c>
      <c r="J21" s="473">
        <f>SUM(J5:J20)</f>
        <v>3.5269200000000002E-3</v>
      </c>
      <c r="K21" s="473">
        <f t="shared" ref="K21:P21" si="0">SUM(K5:K20)</f>
        <v>3.4745399999999999E-3</v>
      </c>
      <c r="L21" s="473">
        <f t="shared" si="0"/>
        <v>0.79442999999999997</v>
      </c>
      <c r="M21" s="473">
        <f t="shared" si="0"/>
        <v>2.0079000000000003E-6</v>
      </c>
      <c r="N21" s="473">
        <f t="shared" si="0"/>
        <v>3.4919999999999999E-3</v>
      </c>
      <c r="O21" s="473">
        <f t="shared" si="0"/>
        <v>9.6030000000000009E-4</v>
      </c>
      <c r="P21" s="473">
        <f t="shared" si="0"/>
        <v>4.0157999999999999E-2</v>
      </c>
      <c r="Q21" s="538">
        <f>SUM(Q5:Q20)</f>
        <v>0</v>
      </c>
      <c r="R21" s="183" t="s">
        <v>31</v>
      </c>
      <c r="S21" s="396"/>
    </row>
    <row r="22" spans="1:19" ht="11.25">
      <c r="B22" s="539" t="s">
        <v>453</v>
      </c>
      <c r="C22" s="236"/>
    </row>
    <row r="23" spans="1:19" ht="35.25" customHeight="1">
      <c r="B23" s="723" t="s">
        <v>25</v>
      </c>
      <c r="C23" s="724" t="s">
        <v>399</v>
      </c>
    </row>
    <row r="24" spans="1:19">
      <c r="B24" s="723"/>
      <c r="C24" s="724"/>
    </row>
    <row r="25" spans="1:19">
      <c r="B25" s="540" t="s">
        <v>8</v>
      </c>
      <c r="C25" s="476">
        <f>SUMIFS($I$5:$I$20,'Bud.gminne 2015 '!$F$5:$F$20,'Bud.gminne 2015 '!B25)</f>
        <v>0</v>
      </c>
    </row>
    <row r="26" spans="1:19">
      <c r="B26" s="540" t="s">
        <v>1</v>
      </c>
      <c r="C26" s="476">
        <f>SUMIFS($I$5:$I$20,'Bud.gminne 2015 '!$F$5:$F$20,'Bud.gminne 2015 '!B26)</f>
        <v>0</v>
      </c>
    </row>
    <row r="27" spans="1:19">
      <c r="B27" s="540" t="s">
        <v>26</v>
      </c>
      <c r="C27" s="476">
        <f>SUMIFS($I$5:$I$20,'Bud.gminne 2015 '!$F$5:$F$20,'Bud.gminne 2015 '!B27)</f>
        <v>0</v>
      </c>
    </row>
    <row r="28" spans="1:19">
      <c r="B28" s="540" t="s">
        <v>7</v>
      </c>
      <c r="C28" s="476">
        <f>SUMIFS($I$5:$I$20,'Bud.gminne 2015 '!$F$5:$F$20,'Bud.gminne 2015 '!B28)</f>
        <v>0</v>
      </c>
    </row>
    <row r="29" spans="1:19">
      <c r="B29" s="540" t="s">
        <v>274</v>
      </c>
      <c r="C29" s="476">
        <f>SUMIFS($I$5:$I$20,'Bud.gminne 2015 '!$F$5:$F$20,'Bud.gminne 2015 '!B29)</f>
        <v>0</v>
      </c>
    </row>
    <row r="30" spans="1:19">
      <c r="B30" s="541" t="s">
        <v>3</v>
      </c>
      <c r="C30" s="476">
        <f>SUMIFS($I$5:$I$20,'Bud.gminne 2015 '!$F$5:$F$20,'Bud.gminne 2015 '!B30)</f>
        <v>0</v>
      </c>
    </row>
    <row r="31" spans="1:19">
      <c r="B31" s="540" t="s">
        <v>174</v>
      </c>
      <c r="C31" s="476">
        <f>SUM(C25:C30)</f>
        <v>0</v>
      </c>
    </row>
    <row r="32" spans="1:19">
      <c r="B32" s="236"/>
      <c r="C32" s="236"/>
    </row>
    <row r="33" spans="2:3">
      <c r="B33" s="236"/>
      <c r="C33" s="236"/>
    </row>
    <row r="34" spans="2:3">
      <c r="B34" s="236"/>
      <c r="C34" s="236"/>
    </row>
    <row r="35" spans="2:3">
      <c r="B35" s="236"/>
      <c r="C35" s="236"/>
    </row>
    <row r="36" spans="2:3" ht="10.5" customHeight="1">
      <c r="B36" s="250"/>
      <c r="C36" s="236"/>
    </row>
    <row r="37" spans="2:3">
      <c r="B37" s="250"/>
      <c r="C37" s="236"/>
    </row>
    <row r="38" spans="2:3">
      <c r="B38" s="250"/>
      <c r="C38" s="236"/>
    </row>
    <row r="39" spans="2:3">
      <c r="B39" s="250"/>
      <c r="C39" s="236"/>
    </row>
    <row r="40" spans="2:3">
      <c r="B40" s="250"/>
      <c r="C40" s="236"/>
    </row>
    <row r="41" spans="2:3">
      <c r="B41" s="250"/>
      <c r="C41" s="236"/>
    </row>
    <row r="42" spans="2:3">
      <c r="B42" s="250"/>
      <c r="C42" s="236"/>
    </row>
    <row r="43" spans="2:3">
      <c r="B43" s="250"/>
      <c r="C43" s="236"/>
    </row>
    <row r="44" spans="2:3">
      <c r="B44" s="250"/>
      <c r="C44" s="236"/>
    </row>
    <row r="45" spans="2:3">
      <c r="B45" s="250"/>
      <c r="C45" s="236"/>
    </row>
    <row r="46" spans="2:3">
      <c r="B46" s="250"/>
      <c r="C46" s="236"/>
    </row>
    <row r="47" spans="2:3">
      <c r="B47" s="250"/>
      <c r="C47" s="236"/>
    </row>
    <row r="48" spans="2:3">
      <c r="B48" s="250"/>
      <c r="C48" s="236"/>
    </row>
    <row r="49" spans="2:3">
      <c r="B49" s="250"/>
      <c r="C49" s="236"/>
    </row>
    <row r="50" spans="2:3">
      <c r="B50" s="250"/>
      <c r="C50" s="236"/>
    </row>
    <row r="51" spans="2:3">
      <c r="B51" s="250"/>
      <c r="C51" s="236"/>
    </row>
    <row r="52" spans="2:3">
      <c r="B52" s="250"/>
      <c r="C52" s="236"/>
    </row>
    <row r="53" spans="2:3">
      <c r="B53" s="250"/>
      <c r="C53" s="236"/>
    </row>
    <row r="54" spans="2:3">
      <c r="B54" s="250"/>
      <c r="C54" s="236"/>
    </row>
    <row r="55" spans="2:3">
      <c r="B55" s="250"/>
      <c r="C55" s="236"/>
    </row>
    <row r="56" spans="2:3">
      <c r="B56" s="250"/>
      <c r="C56" s="236"/>
    </row>
    <row r="57" spans="2:3">
      <c r="B57" s="250"/>
      <c r="C57" s="236"/>
    </row>
    <row r="58" spans="2:3">
      <c r="B58" s="250"/>
      <c r="C58" s="236"/>
    </row>
    <row r="59" spans="2:3">
      <c r="B59" s="250"/>
      <c r="C59" s="236"/>
    </row>
    <row r="60" spans="2:3">
      <c r="B60" s="250"/>
      <c r="C60" s="236"/>
    </row>
    <row r="61" spans="2:3">
      <c r="B61" s="250"/>
      <c r="C61" s="236"/>
    </row>
    <row r="62" spans="2:3">
      <c r="B62" s="250"/>
      <c r="C62" s="236"/>
    </row>
    <row r="63" spans="2:3">
      <c r="B63" s="250"/>
      <c r="C63" s="236"/>
    </row>
    <row r="64" spans="2:3">
      <c r="B64" s="250"/>
      <c r="C64" s="236"/>
    </row>
    <row r="65" spans="2:3">
      <c r="B65" s="250"/>
      <c r="C65" s="236"/>
    </row>
    <row r="66" spans="2:3">
      <c r="B66" s="250"/>
      <c r="C66" s="236"/>
    </row>
    <row r="67" spans="2:3">
      <c r="B67" s="250"/>
      <c r="C67" s="236"/>
    </row>
    <row r="68" spans="2:3">
      <c r="B68" s="250"/>
      <c r="C68" s="236"/>
    </row>
    <row r="69" spans="2:3">
      <c r="B69" s="250"/>
      <c r="C69" s="236"/>
    </row>
    <row r="70" spans="2:3">
      <c r="B70" s="250"/>
      <c r="C70" s="236"/>
    </row>
    <row r="71" spans="2:3">
      <c r="B71" s="250"/>
      <c r="C71" s="236"/>
    </row>
    <row r="72" spans="2:3">
      <c r="B72" s="250"/>
      <c r="C72" s="236"/>
    </row>
    <row r="73" spans="2:3">
      <c r="B73" s="250"/>
      <c r="C73" s="236"/>
    </row>
    <row r="74" spans="2:3">
      <c r="B74" s="250"/>
      <c r="C74" s="236"/>
    </row>
    <row r="75" spans="2:3">
      <c r="B75" s="250"/>
      <c r="C75" s="236"/>
    </row>
    <row r="76" spans="2:3">
      <c r="B76" s="250"/>
      <c r="C76" s="236"/>
    </row>
    <row r="77" spans="2:3">
      <c r="B77" s="250"/>
      <c r="C77" s="236"/>
    </row>
    <row r="78" spans="2:3">
      <c r="B78" s="250"/>
      <c r="C78" s="236"/>
    </row>
    <row r="79" spans="2:3">
      <c r="B79" s="250"/>
      <c r="C79" s="236"/>
    </row>
    <row r="80" spans="2:3">
      <c r="B80" s="250"/>
      <c r="C80" s="236"/>
    </row>
    <row r="81" spans="2:3">
      <c r="B81" s="250"/>
      <c r="C81" s="236"/>
    </row>
    <row r="82" spans="2:3">
      <c r="B82" s="250"/>
      <c r="C82" s="236"/>
    </row>
    <row r="83" spans="2:3">
      <c r="B83" s="250"/>
      <c r="C83" s="236"/>
    </row>
    <row r="84" spans="2:3">
      <c r="B84" s="250"/>
      <c r="C84" s="236"/>
    </row>
    <row r="85" spans="2:3">
      <c r="B85" s="250"/>
      <c r="C85" s="236"/>
    </row>
    <row r="86" spans="2:3">
      <c r="B86" s="250"/>
      <c r="C86" s="236"/>
    </row>
    <row r="87" spans="2:3">
      <c r="B87" s="250"/>
      <c r="C87" s="236"/>
    </row>
    <row r="88" spans="2:3">
      <c r="B88" s="250"/>
      <c r="C88" s="236"/>
    </row>
    <row r="89" spans="2:3">
      <c r="B89" s="250"/>
      <c r="C89" s="236"/>
    </row>
    <row r="90" spans="2:3">
      <c r="B90" s="250"/>
      <c r="C90" s="236"/>
    </row>
    <row r="91" spans="2:3">
      <c r="B91" s="250"/>
      <c r="C91" s="236"/>
    </row>
    <row r="92" spans="2:3">
      <c r="B92" s="250"/>
      <c r="C92" s="236"/>
    </row>
    <row r="93" spans="2:3">
      <c r="B93" s="250"/>
      <c r="C93" s="236"/>
    </row>
    <row r="94" spans="2:3">
      <c r="B94" s="250"/>
      <c r="C94" s="236"/>
    </row>
    <row r="95" spans="2:3">
      <c r="B95" s="250"/>
      <c r="C95" s="236"/>
    </row>
    <row r="96" spans="2:3">
      <c r="B96" s="250"/>
      <c r="C96" s="236"/>
    </row>
    <row r="97" spans="2:18">
      <c r="B97" s="250"/>
      <c r="C97" s="236"/>
      <c r="Q97" s="254"/>
      <c r="R97" s="254"/>
    </row>
    <row r="98" spans="2:18">
      <c r="B98" s="250"/>
      <c r="C98" s="236"/>
    </row>
    <row r="99" spans="2:18">
      <c r="B99" s="250"/>
      <c r="C99" s="236"/>
    </row>
    <row r="100" spans="2:18">
      <c r="B100" s="250"/>
      <c r="C100" s="236"/>
    </row>
    <row r="101" spans="2:18">
      <c r="B101" s="250"/>
      <c r="C101" s="236"/>
    </row>
    <row r="102" spans="2:18">
      <c r="B102" s="250"/>
      <c r="C102" s="236"/>
    </row>
    <row r="103" spans="2:18">
      <c r="B103" s="250"/>
      <c r="C103" s="236"/>
    </row>
    <row r="104" spans="2:18">
      <c r="B104" s="250"/>
      <c r="C104" s="236"/>
    </row>
    <row r="105" spans="2:18">
      <c r="B105" s="250"/>
      <c r="C105" s="236"/>
    </row>
    <row r="106" spans="2:18">
      <c r="B106" s="250"/>
      <c r="C106" s="236"/>
    </row>
    <row r="107" spans="2:18">
      <c r="B107" s="250"/>
      <c r="C107" s="236"/>
    </row>
    <row r="108" spans="2:18">
      <c r="B108" s="250"/>
      <c r="C108" s="236"/>
    </row>
    <row r="109" spans="2:18">
      <c r="B109" s="250"/>
      <c r="C109" s="236"/>
    </row>
    <row r="110" spans="2:18">
      <c r="B110" s="250"/>
      <c r="C110" s="236"/>
    </row>
    <row r="111" spans="2:18">
      <c r="B111" s="250"/>
      <c r="C111" s="236"/>
    </row>
    <row r="112" spans="2:18">
      <c r="B112" s="250"/>
      <c r="C112" s="236"/>
    </row>
    <row r="113" spans="2:3">
      <c r="B113" s="250"/>
      <c r="C113" s="236"/>
    </row>
    <row r="114" spans="2:3">
      <c r="B114" s="250"/>
      <c r="C114" s="236"/>
    </row>
    <row r="115" spans="2:3">
      <c r="B115" s="250"/>
      <c r="C115" s="236"/>
    </row>
    <row r="116" spans="2:3">
      <c r="B116" s="250"/>
      <c r="C116" s="236"/>
    </row>
    <row r="117" spans="2:3">
      <c r="B117" s="250"/>
      <c r="C117" s="236"/>
    </row>
    <row r="118" spans="2:3">
      <c r="B118" s="250"/>
      <c r="C118" s="236"/>
    </row>
    <row r="119" spans="2:3">
      <c r="B119" s="250"/>
      <c r="C119" s="236"/>
    </row>
    <row r="120" spans="2:3">
      <c r="B120" s="250"/>
      <c r="C120" s="236"/>
    </row>
    <row r="121" spans="2:3">
      <c r="B121" s="250"/>
      <c r="C121" s="236"/>
    </row>
    <row r="122" spans="2:3">
      <c r="B122" s="250"/>
      <c r="C122" s="236"/>
    </row>
    <row r="123" spans="2:3">
      <c r="B123" s="250"/>
      <c r="C123" s="236"/>
    </row>
    <row r="124" spans="2:3">
      <c r="B124" s="250"/>
      <c r="C124" s="236"/>
    </row>
    <row r="125" spans="2:3">
      <c r="B125" s="250"/>
      <c r="C125" s="236"/>
    </row>
    <row r="126" spans="2:3">
      <c r="B126" s="250"/>
      <c r="C126" s="236"/>
    </row>
    <row r="127" spans="2:3">
      <c r="B127" s="250"/>
      <c r="C127" s="236"/>
    </row>
    <row r="128" spans="2:3">
      <c r="B128" s="250"/>
      <c r="C128" s="236"/>
    </row>
    <row r="129" spans="2:3">
      <c r="B129" s="250"/>
      <c r="C129" s="236"/>
    </row>
    <row r="130" spans="2:3">
      <c r="B130" s="250"/>
      <c r="C130" s="236"/>
    </row>
    <row r="131" spans="2:3">
      <c r="B131" s="250"/>
      <c r="C131" s="236"/>
    </row>
    <row r="132" spans="2:3">
      <c r="B132" s="250"/>
      <c r="C132" s="236"/>
    </row>
    <row r="133" spans="2:3">
      <c r="B133" s="250"/>
      <c r="C133" s="236"/>
    </row>
    <row r="134" spans="2:3">
      <c r="B134" s="250"/>
      <c r="C134" s="236"/>
    </row>
    <row r="135" spans="2:3">
      <c r="B135" s="250"/>
      <c r="C135" s="236"/>
    </row>
    <row r="136" spans="2:3">
      <c r="B136" s="250"/>
      <c r="C136" s="236"/>
    </row>
    <row r="137" spans="2:3">
      <c r="B137" s="250"/>
      <c r="C137" s="236"/>
    </row>
    <row r="138" spans="2:3">
      <c r="B138" s="250"/>
      <c r="C138" s="236"/>
    </row>
    <row r="139" spans="2:3">
      <c r="B139" s="250"/>
      <c r="C139" s="236"/>
    </row>
    <row r="140" spans="2:3">
      <c r="B140" s="250"/>
      <c r="C140" s="236"/>
    </row>
    <row r="141" spans="2:3">
      <c r="B141" s="250"/>
      <c r="C141" s="236"/>
    </row>
    <row r="142" spans="2:3">
      <c r="B142" s="250"/>
      <c r="C142" s="236"/>
    </row>
    <row r="143" spans="2:3">
      <c r="B143" s="250"/>
      <c r="C143" s="236"/>
    </row>
    <row r="144" spans="2:3">
      <c r="B144" s="250"/>
      <c r="C144" s="236"/>
    </row>
    <row r="145" spans="2:3">
      <c r="B145" s="250"/>
      <c r="C145" s="236"/>
    </row>
    <row r="146" spans="2:3">
      <c r="B146" s="250"/>
      <c r="C146" s="236"/>
    </row>
    <row r="147" spans="2:3">
      <c r="B147" s="250"/>
      <c r="C147" s="236"/>
    </row>
    <row r="148" spans="2:3">
      <c r="B148" s="250"/>
      <c r="C148" s="236"/>
    </row>
    <row r="149" spans="2:3">
      <c r="B149" s="250"/>
      <c r="C149" s="236"/>
    </row>
    <row r="150" spans="2:3">
      <c r="B150" s="250"/>
      <c r="C150" s="236"/>
    </row>
    <row r="151" spans="2:3">
      <c r="B151" s="250"/>
      <c r="C151" s="236"/>
    </row>
    <row r="152" spans="2:3">
      <c r="B152" s="250"/>
      <c r="C152" s="236"/>
    </row>
    <row r="153" spans="2:3">
      <c r="B153" s="250"/>
      <c r="C153" s="236"/>
    </row>
    <row r="154" spans="2:3">
      <c r="B154" s="250"/>
      <c r="C154" s="236"/>
    </row>
    <row r="155" spans="2:3">
      <c r="B155" s="250"/>
      <c r="C155" s="236"/>
    </row>
    <row r="156" spans="2:3">
      <c r="B156" s="250"/>
      <c r="C156" s="236"/>
    </row>
    <row r="157" spans="2:3">
      <c r="B157" s="250"/>
      <c r="C157" s="236"/>
    </row>
    <row r="158" spans="2:3">
      <c r="B158" s="250"/>
      <c r="C158" s="236"/>
    </row>
    <row r="159" spans="2:3">
      <c r="B159" s="250"/>
      <c r="C159" s="236"/>
    </row>
    <row r="160" spans="2:3">
      <c r="B160" s="250"/>
      <c r="C160" s="236"/>
    </row>
    <row r="161" spans="2:3">
      <c r="B161" s="250"/>
      <c r="C161" s="236"/>
    </row>
    <row r="162" spans="2:3">
      <c r="B162" s="250"/>
      <c r="C162" s="236"/>
    </row>
    <row r="163" spans="2:3">
      <c r="B163" s="250"/>
      <c r="C163" s="236"/>
    </row>
    <row r="164" spans="2:3">
      <c r="B164" s="250"/>
      <c r="C164" s="236"/>
    </row>
    <row r="165" spans="2:3">
      <c r="B165" s="250"/>
      <c r="C165" s="236"/>
    </row>
    <row r="166" spans="2:3">
      <c r="B166" s="250"/>
      <c r="C166" s="236"/>
    </row>
    <row r="167" spans="2:3">
      <c r="B167" s="250"/>
      <c r="C167" s="236"/>
    </row>
    <row r="168" spans="2:3">
      <c r="B168" s="250"/>
      <c r="C168" s="236"/>
    </row>
    <row r="169" spans="2:3">
      <c r="B169" s="250"/>
      <c r="C169" s="236"/>
    </row>
    <row r="170" spans="2:3">
      <c r="B170" s="250"/>
      <c r="C170" s="236"/>
    </row>
    <row r="171" spans="2:3">
      <c r="B171" s="250"/>
      <c r="C171" s="236"/>
    </row>
    <row r="172" spans="2:3">
      <c r="B172" s="250"/>
      <c r="C172" s="236"/>
    </row>
    <row r="173" spans="2:3">
      <c r="B173" s="250"/>
      <c r="C173" s="236"/>
    </row>
    <row r="174" spans="2:3">
      <c r="B174" s="250"/>
      <c r="C174" s="236"/>
    </row>
    <row r="175" spans="2:3">
      <c r="B175" s="250"/>
      <c r="C175" s="236"/>
    </row>
    <row r="176" spans="2:3">
      <c r="B176" s="250"/>
      <c r="C176" s="236"/>
    </row>
    <row r="177" spans="2:3">
      <c r="B177" s="255"/>
      <c r="C177" s="231"/>
    </row>
  </sheetData>
  <mergeCells count="3">
    <mergeCell ref="B23:B24"/>
    <mergeCell ref="C23:C24"/>
    <mergeCell ref="A16:A17"/>
  </mergeCells>
  <dataValidations count="2">
    <dataValidation type="list" allowBlank="1" showInputMessage="1" showErrorMessage="1" sqref="B25:B29 F21">
      <formula1>#REF!</formula1>
    </dataValidation>
    <dataValidation type="list" allowBlank="1" showInputMessage="1" showErrorMessage="1" sqref="E21 R5:R21">
      <formula1>#REF!</formula1>
    </dataValidation>
  </dataValidations>
  <pageMargins left="0.7" right="0.7" top="0.75" bottom="0.75" header="0.3" footer="0.3"/>
  <pageSetup paperSize="9" scale="73" orientation="landscape"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3000000}">
          <x14:formula1>
            <xm:f>'Wskaźniki emisji, założenia'!$A$10:$A$19</xm:f>
          </x14:formula1>
          <xm:sqref>H5:I19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Q58"/>
  <sheetViews>
    <sheetView view="pageBreakPreview" zoomScale="115" zoomScaleNormal="100" zoomScaleSheetLayoutView="115" workbookViewId="0">
      <pane ySplit="4" topLeftCell="A5" activePane="bottomLeft" state="frozen"/>
      <selection pane="bottomLeft" activeCell="B4" sqref="B4:C7"/>
    </sheetView>
  </sheetViews>
  <sheetFormatPr defaultRowHeight="14.25"/>
  <cols>
    <col min="1" max="1" width="15.625" customWidth="1"/>
    <col min="2" max="3" width="17" customWidth="1"/>
    <col min="4" max="4" width="17.5" customWidth="1"/>
    <col min="6" max="7" width="12" customWidth="1"/>
    <col min="8" max="8" width="9" customWidth="1"/>
    <col min="9" max="9" width="9.875" bestFit="1" customWidth="1"/>
  </cols>
  <sheetData>
    <row r="1" spans="1:7">
      <c r="A1" s="518" t="s">
        <v>428</v>
      </c>
      <c r="B1" s="519"/>
      <c r="C1" s="532"/>
      <c r="D1" s="520"/>
    </row>
    <row r="2" spans="1:7" ht="15">
      <c r="A2" s="726" t="s">
        <v>466</v>
      </c>
      <c r="B2" s="726"/>
      <c r="C2" s="726"/>
      <c r="D2" s="726"/>
      <c r="E2" s="726"/>
    </row>
    <row r="3" spans="1:7" ht="42.75">
      <c r="A3" s="515" t="s">
        <v>136</v>
      </c>
      <c r="B3" s="60" t="s">
        <v>434</v>
      </c>
      <c r="C3" s="60" t="s">
        <v>141</v>
      </c>
      <c r="D3" s="60" t="s">
        <v>142</v>
      </c>
      <c r="E3" s="60" t="s">
        <v>143</v>
      </c>
    </row>
    <row r="4" spans="1:7" ht="30.75" customHeight="1">
      <c r="A4" s="3" t="s">
        <v>429</v>
      </c>
      <c r="B4" s="515"/>
      <c r="C4" s="521"/>
      <c r="D4" s="522">
        <f>'Wskaźniki emisji, założenia'!C72</f>
        <v>0.81200000000000006</v>
      </c>
      <c r="E4" s="522">
        <f>C4*D4</f>
        <v>0</v>
      </c>
    </row>
    <row r="5" spans="1:7" ht="15">
      <c r="A5" s="3" t="s">
        <v>305</v>
      </c>
      <c r="B5" s="521"/>
      <c r="C5" s="523"/>
      <c r="D5" s="522">
        <f>'Wskaźniki emisji, założenia'!C72</f>
        <v>0.81200000000000006</v>
      </c>
      <c r="E5" s="522">
        <f t="shared" ref="E5:E7" si="0">C5*D5</f>
        <v>0</v>
      </c>
    </row>
    <row r="6" spans="1:7" s="342" customFormat="1" ht="15">
      <c r="A6" s="488" t="s">
        <v>430</v>
      </c>
      <c r="B6" s="521"/>
      <c r="C6" s="523"/>
      <c r="D6" s="522">
        <f t="shared" ref="D6:D7" si="1">D5</f>
        <v>0.81200000000000006</v>
      </c>
      <c r="E6" s="522">
        <f t="shared" si="0"/>
        <v>0</v>
      </c>
      <c r="F6" s="343"/>
      <c r="G6" s="343"/>
    </row>
    <row r="7" spans="1:7" s="342" customFormat="1" ht="28.5">
      <c r="A7" s="527" t="s">
        <v>431</v>
      </c>
      <c r="B7" s="521"/>
      <c r="C7" s="521"/>
      <c r="D7" s="522">
        <f t="shared" si="1"/>
        <v>0.81200000000000006</v>
      </c>
      <c r="E7" s="522">
        <f t="shared" si="0"/>
        <v>0</v>
      </c>
    </row>
    <row r="8" spans="1:7" s="342" customFormat="1" ht="15">
      <c r="A8" s="489" t="s">
        <v>174</v>
      </c>
      <c r="B8" s="524">
        <f>SUM(B4:B7)</f>
        <v>0</v>
      </c>
      <c r="C8" s="524">
        <f>SUM(C4:C7)</f>
        <v>0</v>
      </c>
      <c r="D8" s="525"/>
      <c r="E8" s="526">
        <f>SUM(E4:E7)</f>
        <v>0</v>
      </c>
    </row>
    <row r="9" spans="1:7" s="342" customFormat="1"/>
    <row r="10" spans="1:7" s="342" customFormat="1"/>
    <row r="11" spans="1:7" s="342" customFormat="1"/>
    <row r="12" spans="1:7" s="342" customFormat="1"/>
    <row r="13" spans="1:7" s="342" customFormat="1"/>
    <row r="14" spans="1:7" s="342" customFormat="1"/>
    <row r="15" spans="1:7" s="342" customFormat="1"/>
    <row r="16" spans="1:7" s="342" customFormat="1" ht="15">
      <c r="B16" s="344"/>
      <c r="C16" s="344"/>
    </row>
    <row r="17" spans="1:17" s="342" customFormat="1"/>
    <row r="18" spans="1:17" s="342" customFormat="1"/>
    <row r="19" spans="1:17" s="342" customFormat="1"/>
    <row r="20" spans="1:17">
      <c r="A20" s="228"/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1:17">
      <c r="A21" s="228"/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8"/>
      <c r="M21" s="228"/>
      <c r="N21" s="228"/>
      <c r="O21" s="228"/>
      <c r="P21" s="228"/>
      <c r="Q21" s="228"/>
    </row>
    <row r="22" spans="1:17">
      <c r="A22" s="228"/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228"/>
      <c r="P22" s="228"/>
      <c r="Q22" s="228"/>
    </row>
    <row r="23" spans="1:17">
      <c r="A23" s="228"/>
      <c r="B23" s="228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  <c r="P23" s="228"/>
      <c r="Q23" s="228"/>
    </row>
    <row r="24" spans="1:17">
      <c r="A24" s="228"/>
      <c r="B24" s="228"/>
      <c r="C24" s="228"/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  <c r="P24" s="228"/>
      <c r="Q24" s="228"/>
    </row>
    <row r="25" spans="1:17">
      <c r="A25" s="228"/>
      <c r="B25" s="228"/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</row>
    <row r="26" spans="1:17">
      <c r="A26" s="228"/>
      <c r="B26" s="228"/>
      <c r="C26" s="228"/>
      <c r="D26" s="228"/>
      <c r="E26" s="228"/>
      <c r="F26" s="228"/>
      <c r="G26" s="228"/>
      <c r="H26" s="228"/>
      <c r="I26" s="228"/>
      <c r="J26" s="228"/>
      <c r="K26" s="228"/>
      <c r="L26" s="228"/>
      <c r="M26" s="228"/>
      <c r="N26" s="228"/>
      <c r="O26" s="228"/>
      <c r="P26" s="228"/>
      <c r="Q26" s="228"/>
    </row>
    <row r="27" spans="1:17">
      <c r="A27" s="228"/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</row>
    <row r="28" spans="1:17">
      <c r="A28" s="228"/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</row>
    <row r="29" spans="1:17">
      <c r="A29" s="228"/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</row>
    <row r="30" spans="1:17">
      <c r="A30" s="228"/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</row>
    <row r="31" spans="1:17">
      <c r="A31" s="228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</row>
    <row r="32" spans="1:17">
      <c r="A32" s="228"/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</row>
    <row r="33" spans="1:17">
      <c r="A33" s="228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</row>
    <row r="34" spans="1:17">
      <c r="A34" s="228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</row>
    <row r="35" spans="1:17">
      <c r="A35" s="228"/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</row>
    <row r="36" spans="1:17">
      <c r="A36" s="228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</row>
    <row r="37" spans="1:17">
      <c r="A37" s="228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</row>
    <row r="38" spans="1:17">
      <c r="A38" s="228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</row>
    <row r="39" spans="1:17">
      <c r="A39" s="228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</row>
    <row r="40" spans="1:17">
      <c r="A40" s="228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</row>
    <row r="41" spans="1:17">
      <c r="A41" s="228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</row>
    <row r="42" spans="1:17">
      <c r="A42" s="228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</row>
    <row r="43" spans="1:17">
      <c r="A43" s="228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</row>
    <row r="44" spans="1:17">
      <c r="A44" s="228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</row>
    <row r="45" spans="1:17">
      <c r="A45" s="228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</row>
    <row r="46" spans="1:17">
      <c r="A46" s="228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</row>
    <row r="47" spans="1:17">
      <c r="A47" s="228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</row>
    <row r="48" spans="1:17">
      <c r="A48" s="228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</row>
    <row r="49" spans="1:17">
      <c r="A49" s="228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</row>
    <row r="50" spans="1:17">
      <c r="A50" s="228"/>
      <c r="B50" s="228"/>
      <c r="C50" s="228"/>
      <c r="D50" s="228"/>
      <c r="E50" s="228"/>
      <c r="F50" s="228"/>
      <c r="G50" s="228"/>
      <c r="H50" s="228"/>
      <c r="I50" s="228"/>
      <c r="J50" s="228"/>
      <c r="K50" s="228"/>
      <c r="L50" s="228"/>
      <c r="M50" s="228"/>
      <c r="N50" s="228"/>
      <c r="O50" s="228"/>
      <c r="P50" s="228"/>
      <c r="Q50" s="228"/>
    </row>
    <row r="51" spans="1:17">
      <c r="A51" s="228"/>
      <c r="B51" s="228"/>
      <c r="C51" s="228"/>
      <c r="D51" s="228"/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</row>
    <row r="52" spans="1:17">
      <c r="A52" s="228"/>
      <c r="B52" s="228"/>
      <c r="C52" s="228"/>
      <c r="D52" s="228"/>
      <c r="E52" s="228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</row>
    <row r="53" spans="1:17">
      <c r="A53" s="228"/>
      <c r="B53" s="228"/>
      <c r="C53" s="228"/>
      <c r="D53" s="228"/>
      <c r="E53" s="228"/>
      <c r="F53" s="228"/>
      <c r="G53" s="228"/>
      <c r="H53" s="228"/>
      <c r="I53" s="228"/>
      <c r="J53" s="228"/>
      <c r="K53" s="228"/>
      <c r="L53" s="228"/>
      <c r="M53" s="228"/>
      <c r="N53" s="228"/>
      <c r="O53" s="228"/>
      <c r="P53" s="228"/>
      <c r="Q53" s="228"/>
    </row>
    <row r="54" spans="1:17">
      <c r="A54" s="228"/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</row>
    <row r="55" spans="1:17">
      <c r="A55" s="228"/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</row>
    <row r="56" spans="1:17">
      <c r="A56" s="228"/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</row>
    <row r="57" spans="1:17">
      <c r="A57" s="228"/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</row>
    <row r="58" spans="1:17">
      <c r="A58" s="228"/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</row>
  </sheetData>
  <mergeCells count="1">
    <mergeCell ref="A2:E2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32D214"/>
  </sheetPr>
  <dimension ref="A1:T65"/>
  <sheetViews>
    <sheetView view="pageBreakPreview" zoomScale="85" zoomScaleNormal="85" zoomScaleSheetLayoutView="85" workbookViewId="0">
      <selection activeCell="C17" sqref="C17"/>
    </sheetView>
  </sheetViews>
  <sheetFormatPr defaultColWidth="9" defaultRowHeight="14.25"/>
  <cols>
    <col min="1" max="1" width="26.875" style="342" customWidth="1"/>
    <col min="2" max="2" width="12.125" style="342" customWidth="1"/>
    <col min="3" max="3" width="12" style="342" customWidth="1"/>
    <col min="4" max="4" width="9.375" style="342" bestFit="1" customWidth="1"/>
    <col min="5" max="5" width="9.75" style="342" bestFit="1" customWidth="1"/>
    <col min="6" max="10" width="9" style="342"/>
    <col min="11" max="11" width="9.375" style="342" bestFit="1" customWidth="1"/>
    <col min="12" max="12" width="9" style="342"/>
    <col min="13" max="13" width="10" style="342" bestFit="1" customWidth="1"/>
    <col min="14" max="16" width="9" style="342"/>
    <col min="17" max="17" width="17.125" style="342" bestFit="1" customWidth="1"/>
    <col min="18" max="18" width="10.5" style="342" bestFit="1" customWidth="1"/>
    <col min="19" max="19" width="13.125" style="342" bestFit="1" customWidth="1"/>
    <col min="20" max="22" width="9" style="342"/>
    <col min="23" max="23" width="13.125" style="342" customWidth="1"/>
    <col min="24" max="24" width="10" style="342" customWidth="1"/>
    <col min="25" max="26" width="9" style="342"/>
    <col min="27" max="27" width="6.625" style="342" customWidth="1"/>
    <col min="28" max="16384" width="9" style="342"/>
  </cols>
  <sheetData>
    <row r="1" spans="1:20" s="514" customFormat="1" ht="15.75">
      <c r="A1" s="728" t="s">
        <v>468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</row>
    <row r="2" spans="1:20" ht="15">
      <c r="A2" s="483" t="s">
        <v>465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</row>
    <row r="3" spans="1:20" ht="15">
      <c r="A3" s="484" t="s">
        <v>467</v>
      </c>
      <c r="B3" s="483"/>
      <c r="C3" s="483"/>
      <c r="D3" s="483"/>
      <c r="E3" s="483"/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483"/>
      <c r="T3" s="483"/>
    </row>
    <row r="4" spans="1:20" ht="29.25">
      <c r="A4" s="485" t="s">
        <v>358</v>
      </c>
      <c r="B4" s="486" t="s">
        <v>369</v>
      </c>
      <c r="C4" s="487" t="s">
        <v>178</v>
      </c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83"/>
      <c r="T4" s="483"/>
    </row>
    <row r="5" spans="1:20" ht="15">
      <c r="A5" s="488" t="s">
        <v>8</v>
      </c>
      <c r="B5" s="480"/>
      <c r="C5" s="481">
        <v>0.51987233571974489</v>
      </c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  <c r="T5" s="483"/>
    </row>
    <row r="6" spans="1:20" ht="15">
      <c r="A6" s="488" t="s">
        <v>388</v>
      </c>
      <c r="B6" s="480"/>
      <c r="C6" s="481">
        <v>0.45024138339797315</v>
      </c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  <c r="Q6" s="483"/>
      <c r="R6" s="483"/>
      <c r="S6" s="483"/>
      <c r="T6" s="483"/>
    </row>
    <row r="7" spans="1:20" ht="15">
      <c r="A7" s="488" t="s">
        <v>26</v>
      </c>
      <c r="B7" s="480"/>
      <c r="C7" s="481">
        <v>8.7594001688726057E-3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</row>
    <row r="8" spans="1:20" ht="15">
      <c r="A8" s="342" t="s">
        <v>7</v>
      </c>
      <c r="B8" s="480"/>
      <c r="C8" s="481">
        <v>5.8268807134097007E-3</v>
      </c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</row>
    <row r="9" spans="1:20">
      <c r="A9" s="488" t="s">
        <v>9</v>
      </c>
      <c r="B9" s="480"/>
      <c r="C9" s="481">
        <v>5.0000000000000018E-3</v>
      </c>
    </row>
    <row r="10" spans="1:20">
      <c r="A10" s="488" t="s">
        <v>3</v>
      </c>
      <c r="B10" s="480"/>
      <c r="C10" s="481">
        <v>9.0000000000000028E-3</v>
      </c>
    </row>
    <row r="11" spans="1:20">
      <c r="A11" s="488" t="s">
        <v>427</v>
      </c>
      <c r="B11" s="480"/>
      <c r="C11" s="481">
        <v>1.3000000000000004E-3</v>
      </c>
    </row>
    <row r="12" spans="1:20">
      <c r="A12" s="489" t="s">
        <v>137</v>
      </c>
      <c r="B12" s="490"/>
      <c r="C12" s="491">
        <f>SUM(C5:C11)</f>
        <v>1.0000000000000004</v>
      </c>
    </row>
    <row r="13" spans="1:20">
      <c r="A13" s="492"/>
      <c r="B13" s="493"/>
      <c r="C13" s="494"/>
    </row>
    <row r="14" spans="1:20" ht="15">
      <c r="A14" s="484" t="s">
        <v>359</v>
      </c>
    </row>
    <row r="15" spans="1:20">
      <c r="A15" s="488" t="s">
        <v>353</v>
      </c>
      <c r="B15" s="488"/>
      <c r="C15" s="480"/>
      <c r="N15" s="495"/>
      <c r="O15" s="496"/>
    </row>
    <row r="16" spans="1:20" ht="15">
      <c r="A16" s="488" t="s">
        <v>354</v>
      </c>
      <c r="B16" s="488"/>
      <c r="C16" s="480">
        <v>1</v>
      </c>
      <c r="D16" s="493"/>
      <c r="E16" s="493"/>
      <c r="F16" s="484" t="s">
        <v>365</v>
      </c>
    </row>
    <row r="17" spans="1:16">
      <c r="A17" s="488" t="s">
        <v>355</v>
      </c>
      <c r="B17" s="488"/>
      <c r="C17" s="480">
        <f>B12</f>
        <v>0</v>
      </c>
      <c r="D17" s="493"/>
      <c r="E17" s="493"/>
      <c r="F17" s="497" t="s">
        <v>332</v>
      </c>
      <c r="G17" s="497" t="s">
        <v>333</v>
      </c>
      <c r="H17" s="497" t="s">
        <v>334</v>
      </c>
      <c r="I17" s="497" t="s">
        <v>335</v>
      </c>
      <c r="J17" s="497" t="s">
        <v>336</v>
      </c>
      <c r="K17" s="497" t="s">
        <v>337</v>
      </c>
      <c r="L17" s="497" t="s">
        <v>338</v>
      </c>
    </row>
    <row r="18" spans="1:16">
      <c r="A18" s="488" t="s">
        <v>356</v>
      </c>
      <c r="B18" s="488"/>
      <c r="C18" s="480">
        <f>C17/C16*C15</f>
        <v>0</v>
      </c>
      <c r="F18" s="498">
        <f>SUM(C34:C55)+SUM(J34:J55)+D59+D61</f>
        <v>0</v>
      </c>
      <c r="G18" s="498">
        <f t="shared" ref="G18:L18" si="0">SUM(D34:D55)+SUM(K34:K55)+E59+E61</f>
        <v>0</v>
      </c>
      <c r="H18" s="498">
        <f t="shared" si="0"/>
        <v>0</v>
      </c>
      <c r="I18" s="498">
        <f t="shared" si="0"/>
        <v>0</v>
      </c>
      <c r="J18" s="498">
        <f t="shared" si="0"/>
        <v>0</v>
      </c>
      <c r="K18" s="498">
        <f t="shared" si="0"/>
        <v>0</v>
      </c>
      <c r="L18" s="498">
        <f t="shared" si="0"/>
        <v>0</v>
      </c>
    </row>
    <row r="20" spans="1:16" ht="28.5">
      <c r="A20" s="485" t="s">
        <v>358</v>
      </c>
      <c r="B20" s="485" t="s">
        <v>369</v>
      </c>
      <c r="C20" s="487" t="s">
        <v>178</v>
      </c>
      <c r="F20" s="499"/>
    </row>
    <row r="21" spans="1:16">
      <c r="A21" s="500" t="s">
        <v>8</v>
      </c>
      <c r="B21" s="478">
        <f>$C$18*C21</f>
        <v>0</v>
      </c>
      <c r="C21" s="479">
        <f>C5</f>
        <v>0.51987233571974489</v>
      </c>
    </row>
    <row r="22" spans="1:16">
      <c r="A22" s="500" t="s">
        <v>388</v>
      </c>
      <c r="B22" s="478">
        <f t="shared" ref="B22:B27" si="1">$C$18*C22</f>
        <v>0</v>
      </c>
      <c r="C22" s="479">
        <f t="shared" ref="C22:C27" si="2">C6</f>
        <v>0.45024138339797315</v>
      </c>
    </row>
    <row r="23" spans="1:16">
      <c r="A23" s="500" t="s">
        <v>26</v>
      </c>
      <c r="B23" s="478">
        <f t="shared" si="1"/>
        <v>0</v>
      </c>
      <c r="C23" s="479">
        <f t="shared" si="2"/>
        <v>8.7594001688726057E-3</v>
      </c>
    </row>
    <row r="24" spans="1:16">
      <c r="A24" s="501" t="s">
        <v>7</v>
      </c>
      <c r="B24" s="478">
        <f t="shared" si="1"/>
        <v>0</v>
      </c>
      <c r="C24" s="479">
        <f t="shared" si="2"/>
        <v>5.8268807134097007E-3</v>
      </c>
    </row>
    <row r="25" spans="1:16">
      <c r="A25" s="500" t="s">
        <v>9</v>
      </c>
      <c r="B25" s="478">
        <f t="shared" si="1"/>
        <v>0</v>
      </c>
      <c r="C25" s="479">
        <f t="shared" si="2"/>
        <v>5.0000000000000018E-3</v>
      </c>
    </row>
    <row r="26" spans="1:16">
      <c r="A26" s="500" t="s">
        <v>3</v>
      </c>
      <c r="B26" s="478">
        <f t="shared" si="1"/>
        <v>0</v>
      </c>
      <c r="C26" s="479">
        <f t="shared" si="2"/>
        <v>9.0000000000000028E-3</v>
      </c>
    </row>
    <row r="27" spans="1:16">
      <c r="A27" s="500" t="s">
        <v>451</v>
      </c>
      <c r="B27" s="478">
        <f t="shared" si="1"/>
        <v>0</v>
      </c>
      <c r="C27" s="479">
        <f t="shared" si="2"/>
        <v>1.3000000000000004E-3</v>
      </c>
    </row>
    <row r="28" spans="1:16">
      <c r="A28" s="502" t="s">
        <v>137</v>
      </c>
      <c r="B28" s="503">
        <f>SUM(B21:B27)</f>
        <v>0</v>
      </c>
      <c r="C28" s="504">
        <f>SUM(C21:C27)</f>
        <v>1.0000000000000004</v>
      </c>
    </row>
    <row r="29" spans="1:16">
      <c r="A29" s="505"/>
      <c r="B29" s="506"/>
      <c r="C29" s="507"/>
    </row>
    <row r="30" spans="1:16" s="501" customFormat="1" ht="15">
      <c r="A30" s="484" t="s">
        <v>362</v>
      </c>
    </row>
    <row r="31" spans="1:16" ht="15" customHeight="1">
      <c r="A31" s="729" t="s">
        <v>426</v>
      </c>
      <c r="B31" s="730"/>
      <c r="C31" s="727" t="s">
        <v>416</v>
      </c>
      <c r="D31" s="727"/>
      <c r="E31" s="727"/>
      <c r="F31" s="727"/>
      <c r="G31" s="727"/>
      <c r="H31" s="727"/>
      <c r="I31" s="727"/>
      <c r="J31" s="727" t="s">
        <v>417</v>
      </c>
      <c r="K31" s="727"/>
      <c r="L31" s="727"/>
      <c r="M31" s="727"/>
      <c r="N31" s="727"/>
      <c r="O31" s="727"/>
      <c r="P31" s="727"/>
    </row>
    <row r="32" spans="1:16" ht="14.25" customHeight="1">
      <c r="A32" s="731"/>
      <c r="B32" s="732"/>
      <c r="C32" s="508" t="s">
        <v>332</v>
      </c>
      <c r="D32" s="508" t="s">
        <v>333</v>
      </c>
      <c r="E32" s="508" t="s">
        <v>334</v>
      </c>
      <c r="F32" s="508" t="s">
        <v>335</v>
      </c>
      <c r="G32" s="508" t="s">
        <v>336</v>
      </c>
      <c r="H32" s="508" t="s">
        <v>337</v>
      </c>
      <c r="I32" s="508" t="s">
        <v>338</v>
      </c>
      <c r="J32" s="508" t="s">
        <v>332</v>
      </c>
      <c r="K32" s="508" t="s">
        <v>333</v>
      </c>
      <c r="L32" s="508" t="s">
        <v>334</v>
      </c>
      <c r="M32" s="508" t="s">
        <v>335</v>
      </c>
      <c r="N32" s="508" t="s">
        <v>336</v>
      </c>
      <c r="O32" s="508" t="s">
        <v>337</v>
      </c>
      <c r="P32" s="508" t="s">
        <v>338</v>
      </c>
    </row>
    <row r="33" spans="1:16" ht="15">
      <c r="A33" s="733" t="s">
        <v>361</v>
      </c>
      <c r="B33" s="734"/>
      <c r="C33" s="734"/>
      <c r="D33" s="734"/>
      <c r="E33" s="734"/>
      <c r="F33" s="734"/>
      <c r="G33" s="734"/>
      <c r="H33" s="734"/>
      <c r="I33" s="734"/>
      <c r="J33" s="734"/>
      <c r="K33" s="734"/>
      <c r="L33" s="734"/>
      <c r="M33" s="734"/>
      <c r="N33" s="734"/>
      <c r="O33" s="734"/>
      <c r="P33" s="734"/>
    </row>
    <row r="34" spans="1:16">
      <c r="A34" s="408" t="s">
        <v>378</v>
      </c>
      <c r="B34" s="482">
        <v>0.64973833175914619</v>
      </c>
      <c r="C34" s="509">
        <f>$B$34*$B$21*'Wskaźniki emisji, założenia'!B10/1000000</f>
        <v>0</v>
      </c>
      <c r="D34" s="509">
        <f>$B$34*$B$21*'Wskaźniki emisji, założenia'!C10/1000000</f>
        <v>0</v>
      </c>
      <c r="E34" s="509">
        <f>$B$34*$B$21*'Wskaźniki emisji, założenia'!D10/1000000</f>
        <v>0</v>
      </c>
      <c r="F34" s="509">
        <f>$B$34*$B$21*'Wskaźniki emisji, założenia'!E10/1000000</f>
        <v>0</v>
      </c>
      <c r="G34" s="509">
        <f>$B$34*$B$21*'Wskaźniki emisji, założenia'!F10/1000000</f>
        <v>0</v>
      </c>
      <c r="H34" s="509">
        <f>$B$34*$B$21*'Wskaźniki emisji, założenia'!G10/1000000</f>
        <v>0</v>
      </c>
      <c r="I34" s="509">
        <f>$B$34*$B$21*'Wskaźniki emisji, założenia'!H10/1000000</f>
        <v>0</v>
      </c>
      <c r="J34" s="509">
        <f>'Wskaźniki emisji, założenia'!B21/1000000*$B$34*$B$22</f>
        <v>0</v>
      </c>
      <c r="K34" s="509">
        <f>'Wskaźniki emisji, założenia'!C21/1000000*$B$34*$B$22</f>
        <v>0</v>
      </c>
      <c r="L34" s="509">
        <f>'Wskaźniki emisji, założenia'!D21/1000000*$B$34*$B$22</f>
        <v>0</v>
      </c>
      <c r="M34" s="509">
        <f>'Wskaźniki emisji, założenia'!E21/1000000*$B$34*$B$22</f>
        <v>0</v>
      </c>
      <c r="N34" s="509">
        <f>'Wskaźniki emisji, założenia'!F21/1000000*$B$34*$B$22</f>
        <v>0</v>
      </c>
      <c r="O34" s="509">
        <f>'Wskaźniki emisji, założenia'!G21/1000000*$B$34*$B$22</f>
        <v>0</v>
      </c>
      <c r="P34" s="509">
        <f>'Wskaźniki emisji, założenia'!H21/1000000*$B$34*$B$22</f>
        <v>0</v>
      </c>
    </row>
    <row r="35" spans="1:16">
      <c r="A35" s="408" t="s">
        <v>379</v>
      </c>
      <c r="B35" s="482">
        <v>5.0000000000000001E-3</v>
      </c>
      <c r="C35" s="509">
        <f>$B$35*$B$21*'Wskaźniki emisji, założenia'!B11/1000000</f>
        <v>0</v>
      </c>
      <c r="D35" s="509">
        <f>$B$35*$B$21*'Wskaźniki emisji, założenia'!C11/1000000</f>
        <v>0</v>
      </c>
      <c r="E35" s="509">
        <f>$B$35*$B$21*'Wskaźniki emisji, założenia'!D11/1000000</f>
        <v>0</v>
      </c>
      <c r="F35" s="509">
        <f>$B$35*$B$21*'Wskaźniki emisji, założenia'!E11/1000000</f>
        <v>0</v>
      </c>
      <c r="G35" s="509">
        <f>$B$35*$B$21*'Wskaźniki emisji, założenia'!F11/1000000</f>
        <v>0</v>
      </c>
      <c r="H35" s="509">
        <f>$B$35*$B$21*'Wskaźniki emisji, założenia'!G11/1000000</f>
        <v>0</v>
      </c>
      <c r="I35" s="509">
        <f>$B$35*$B$21*'Wskaźniki emisji, założenia'!H11/1000000</f>
        <v>0</v>
      </c>
      <c r="J35" s="509">
        <f>'Wskaźniki emisji, założenia'!B22/1000000*$B$35*$B$22</f>
        <v>0</v>
      </c>
      <c r="K35" s="509">
        <f>'Wskaźniki emisji, założenia'!C22/1000000*$B$35*$B$22</f>
        <v>0</v>
      </c>
      <c r="L35" s="509">
        <f>'Wskaźniki emisji, założenia'!D22/1000000*$B$35*$B$22</f>
        <v>0</v>
      </c>
      <c r="M35" s="509">
        <f>'Wskaźniki emisji, założenia'!E22/1000000*$B$35*$B$22</f>
        <v>0</v>
      </c>
      <c r="N35" s="509">
        <f>'Wskaźniki emisji, założenia'!F22/1000000*$B$35*$B$22</f>
        <v>0</v>
      </c>
      <c r="O35" s="509">
        <f>'Wskaźniki emisji, założenia'!G22/1000000*$B$35*$B$22</f>
        <v>0</v>
      </c>
      <c r="P35" s="509">
        <f>'Wskaźniki emisji, założenia'!H22/1000000*$B$35*$B$22</f>
        <v>0</v>
      </c>
    </row>
    <row r="36" spans="1:16">
      <c r="A36" s="408" t="s">
        <v>380</v>
      </c>
      <c r="B36" s="482">
        <v>0.03</v>
      </c>
      <c r="C36" s="509">
        <f>$B$36*$B$21*'Wskaźniki emisji, założenia'!B12/1000000</f>
        <v>0</v>
      </c>
      <c r="D36" s="509">
        <f>$B$36*$B$21*'Wskaźniki emisji, założenia'!C12/1000000</f>
        <v>0</v>
      </c>
      <c r="E36" s="509">
        <f>$B$36*$B$21*'Wskaźniki emisji, założenia'!D12/1000000</f>
        <v>0</v>
      </c>
      <c r="F36" s="509">
        <f>$B$36*$B$21*'Wskaźniki emisji, założenia'!E12/1000000</f>
        <v>0</v>
      </c>
      <c r="G36" s="509">
        <f>$B$36*$B$21*'Wskaźniki emisji, założenia'!F12/1000000</f>
        <v>0</v>
      </c>
      <c r="H36" s="509">
        <f>$B$36*$B$21*'Wskaźniki emisji, założenia'!G12/1000000</f>
        <v>0</v>
      </c>
      <c r="I36" s="509">
        <f>$B$36*$B$21*'Wskaźniki emisji, założenia'!H12/1000000</f>
        <v>0</v>
      </c>
      <c r="J36" s="509">
        <f>'Wskaźniki emisji, założenia'!B23/1000000*$B$36*$B$22</f>
        <v>0</v>
      </c>
      <c r="K36" s="509">
        <f>'Wskaźniki emisji, założenia'!C23/1000000*$B$36*$B$22</f>
        <v>0</v>
      </c>
      <c r="L36" s="509">
        <f>'Wskaźniki emisji, założenia'!D23/1000000*$B$36*$B$22</f>
        <v>0</v>
      </c>
      <c r="M36" s="509">
        <f>'Wskaźniki emisji, założenia'!E23/1000000*$B$36*$B$22</f>
        <v>0</v>
      </c>
      <c r="N36" s="509">
        <f>'Wskaźniki emisji, założenia'!F23/1000000*$B$36*$B$22</f>
        <v>0</v>
      </c>
      <c r="O36" s="509">
        <f>'Wskaźniki emisji, założenia'!G23/1000000*$B$36*$B$22</f>
        <v>0</v>
      </c>
      <c r="P36" s="509">
        <f>'Wskaźniki emisji, założenia'!H23/1000000*$B$36*$B$22</f>
        <v>0</v>
      </c>
    </row>
    <row r="37" spans="1:16">
      <c r="A37" s="408" t="s">
        <v>381</v>
      </c>
      <c r="B37" s="482">
        <v>0.01</v>
      </c>
      <c r="C37" s="509">
        <f>$B$37*$B$21*'Wskaźniki emisji, założenia'!B13/1000000</f>
        <v>0</v>
      </c>
      <c r="D37" s="509">
        <f>$B$37*$B$21*'Wskaźniki emisji, założenia'!C13/1000000</f>
        <v>0</v>
      </c>
      <c r="E37" s="509">
        <f>$B$37*$B$21*'Wskaźniki emisji, założenia'!D13/1000000</f>
        <v>0</v>
      </c>
      <c r="F37" s="509">
        <f>$B$37*$B$21*'Wskaźniki emisji, założenia'!E13/1000000</f>
        <v>0</v>
      </c>
      <c r="G37" s="509">
        <f>$B$37*$B$21*'Wskaźniki emisji, założenia'!F13/1000000</f>
        <v>0</v>
      </c>
      <c r="H37" s="509">
        <f>$B$37*$B$21*'Wskaźniki emisji, założenia'!G13/1000000</f>
        <v>0</v>
      </c>
      <c r="I37" s="509">
        <f>$B$37*$B$21*'Wskaźniki emisji, założenia'!H13/1000000</f>
        <v>0</v>
      </c>
      <c r="J37" s="509">
        <f>'Wskaźniki emisji, założenia'!B24/1000000*$B$37*$B$22</f>
        <v>0</v>
      </c>
      <c r="K37" s="509">
        <f>'Wskaźniki emisji, założenia'!C24/1000000*$B$37*$B$22</f>
        <v>0</v>
      </c>
      <c r="L37" s="509">
        <f>'Wskaźniki emisji, założenia'!D24/1000000*$B$37*$B$22</f>
        <v>0</v>
      </c>
      <c r="M37" s="509">
        <f>'Wskaźniki emisji, założenia'!E24/1000000*$B$37*$B$22</f>
        <v>0</v>
      </c>
      <c r="N37" s="509">
        <f>'Wskaźniki emisji, założenia'!F24/1000000*$B$37*$B$22</f>
        <v>0</v>
      </c>
      <c r="O37" s="509">
        <f>'Wskaźniki emisji, założenia'!G24/1000000*$B$37*$B$22</f>
        <v>0</v>
      </c>
      <c r="P37" s="509">
        <f>'Wskaźniki emisji, założenia'!H24/1000000*$B$37*$B$22</f>
        <v>0</v>
      </c>
    </row>
    <row r="38" spans="1:16">
      <c r="A38" s="408" t="s">
        <v>382</v>
      </c>
      <c r="B38" s="482">
        <v>1E-3</v>
      </c>
      <c r="C38" s="509">
        <f>$B$38*$B$21*'Wskaźniki emisji, założenia'!B14/1000000</f>
        <v>0</v>
      </c>
      <c r="D38" s="509">
        <f>$B$38*$B$21*'Wskaźniki emisji, założenia'!C14/1000000</f>
        <v>0</v>
      </c>
      <c r="E38" s="509">
        <f>$B$38*$B$21*'Wskaźniki emisji, założenia'!D14/1000000</f>
        <v>0</v>
      </c>
      <c r="F38" s="509">
        <f>$B$38*$B$21*'Wskaźniki emisji, założenia'!E14/1000000</f>
        <v>0</v>
      </c>
      <c r="G38" s="509">
        <f>$B$38*$B$21*'Wskaźniki emisji, założenia'!F14/1000000</f>
        <v>0</v>
      </c>
      <c r="H38" s="509">
        <f>$B$38*$B$21*'Wskaźniki emisji, założenia'!G14/1000000</f>
        <v>0</v>
      </c>
      <c r="I38" s="509">
        <f>$B$38*$B$21*'Wskaźniki emisji, założenia'!H14/1000000</f>
        <v>0</v>
      </c>
      <c r="J38" s="509">
        <f>'Wskaźniki emisji, założenia'!B25/1000000*$B$38*$B$22</f>
        <v>0</v>
      </c>
      <c r="K38" s="509">
        <f>'Wskaźniki emisji, założenia'!C25/1000000*$B$38*$B$22</f>
        <v>0</v>
      </c>
      <c r="L38" s="509">
        <f>'Wskaźniki emisji, założenia'!D25/1000000*$B$38*$B$22</f>
        <v>0</v>
      </c>
      <c r="M38" s="509">
        <f>'Wskaźniki emisji, założenia'!E25/1000000*$B$38*$B$22</f>
        <v>0</v>
      </c>
      <c r="N38" s="509">
        <f>'Wskaźniki emisji, założenia'!F25/1000000*$B$38*$B$22</f>
        <v>0</v>
      </c>
      <c r="O38" s="509">
        <f>'Wskaźniki emisji, założenia'!G25/1000000*$B$38*$B$22</f>
        <v>0</v>
      </c>
      <c r="P38" s="509">
        <f>'Wskaźniki emisji, założenia'!H25/1000000*$B$38*$B$22</f>
        <v>0</v>
      </c>
    </row>
    <row r="39" spans="1:16">
      <c r="A39" s="408" t="s">
        <v>383</v>
      </c>
      <c r="B39" s="482">
        <v>0</v>
      </c>
      <c r="C39" s="509">
        <f>$B$39*$B$21*'Wskaźniki emisji, założenia'!B15/1000000</f>
        <v>0</v>
      </c>
      <c r="D39" s="509">
        <f>$B$39*$B$21*'Wskaźniki emisji, założenia'!C15/1000000</f>
        <v>0</v>
      </c>
      <c r="E39" s="509">
        <f>$B$39*$B$21*'Wskaźniki emisji, założenia'!D15/1000000</f>
        <v>0</v>
      </c>
      <c r="F39" s="509">
        <f>$B$39*$B$21*'Wskaźniki emisji, założenia'!E15/1000000</f>
        <v>0</v>
      </c>
      <c r="G39" s="509">
        <f>$B$39*$B$21*'Wskaźniki emisji, założenia'!F15/1000000</f>
        <v>0</v>
      </c>
      <c r="H39" s="509">
        <f>$B$39*$B$21*'Wskaźniki emisji, założenia'!G15/1000000</f>
        <v>0</v>
      </c>
      <c r="I39" s="509">
        <f>$B$39*$B$21*'Wskaźniki emisji, założenia'!H15/1000000</f>
        <v>0</v>
      </c>
      <c r="J39" s="509">
        <f>'Wskaźniki emisji, założenia'!B26/1000000*$B$39*$B$22</f>
        <v>0</v>
      </c>
      <c r="K39" s="509">
        <f>'Wskaźniki emisji, założenia'!C26/1000000*$B$39*$B$22</f>
        <v>0</v>
      </c>
      <c r="L39" s="509">
        <f>'Wskaźniki emisji, założenia'!D26/1000000*$B$39*$B$22</f>
        <v>0</v>
      </c>
      <c r="M39" s="509">
        <f>'Wskaźniki emisji, założenia'!E26/1000000*$B$39*$B$22</f>
        <v>0</v>
      </c>
      <c r="N39" s="509">
        <f>'Wskaźniki emisji, założenia'!F26/1000000*$B$39*$B$22</f>
        <v>0</v>
      </c>
      <c r="O39" s="509">
        <f>'Wskaźniki emisji, założenia'!G26/1000000*$B$39*$B$22</f>
        <v>0</v>
      </c>
      <c r="P39" s="509">
        <f>'Wskaźniki emisji, założenia'!H26/1000000*$B$39*$B$22</f>
        <v>0</v>
      </c>
    </row>
    <row r="40" spans="1:16">
      <c r="A40" s="408" t="s">
        <v>387</v>
      </c>
      <c r="B40" s="482">
        <v>5.0000000000000001E-3</v>
      </c>
      <c r="C40" s="509">
        <f>$B$40*$B$21*'Wskaźniki emisji, założenia'!B16/1000000</f>
        <v>0</v>
      </c>
      <c r="D40" s="509">
        <f>$B$40*$B$21*'Wskaźniki emisji, założenia'!C16/1000000</f>
        <v>0</v>
      </c>
      <c r="E40" s="509">
        <f>$B$40*$B$21*'Wskaźniki emisji, założenia'!D16/1000000</f>
        <v>0</v>
      </c>
      <c r="F40" s="509">
        <f>$B$40*$B$21*'Wskaźniki emisji, założenia'!E16/1000000</f>
        <v>0</v>
      </c>
      <c r="G40" s="509">
        <f>$B$40*$B$21*'Wskaźniki emisji, założenia'!F16/1000000</f>
        <v>0</v>
      </c>
      <c r="H40" s="509">
        <f>$B$40*$B$21*'Wskaźniki emisji, założenia'!G16/1000000</f>
        <v>0</v>
      </c>
      <c r="I40" s="509">
        <f>$B$40*$B$21*'Wskaźniki emisji, założenia'!H16/1000000</f>
        <v>0</v>
      </c>
      <c r="J40" s="509">
        <f>'Wskaźniki emisji, założenia'!B27/1000000*$B$40*$B$22</f>
        <v>0</v>
      </c>
      <c r="K40" s="509">
        <f>'Wskaźniki emisji, założenia'!C27/1000000*$B$40*$B$22</f>
        <v>0</v>
      </c>
      <c r="L40" s="509">
        <f>'Wskaźniki emisji, założenia'!D27/1000000*$B$40*$B$22</f>
        <v>0</v>
      </c>
      <c r="M40" s="509">
        <f>'Wskaźniki emisji, założenia'!E27/1000000*$B$40*$B$22</f>
        <v>0</v>
      </c>
      <c r="N40" s="509">
        <f>'Wskaźniki emisji, założenia'!F27/1000000*$B$40*$B$22</f>
        <v>0</v>
      </c>
      <c r="O40" s="509">
        <f>'Wskaźniki emisji, założenia'!G27/1000000*$B$40*$B$22</f>
        <v>0</v>
      </c>
      <c r="P40" s="509">
        <f>'Wskaźniki emisji, założenia'!H27/1000000*$B$40*$B$22</f>
        <v>0</v>
      </c>
    </row>
    <row r="41" spans="1:16">
      <c r="A41" s="408" t="s">
        <v>384</v>
      </c>
      <c r="B41" s="482">
        <v>0</v>
      </c>
      <c r="C41" s="509">
        <f>$B$41*$B$21*'Wskaźniki emisji, założenia'!B17/1000000</f>
        <v>0</v>
      </c>
      <c r="D41" s="509">
        <f>$B$41*$B$21*'Wskaźniki emisji, założenia'!C17/1000000</f>
        <v>0</v>
      </c>
      <c r="E41" s="509">
        <f>$B$41*$B$21*'Wskaźniki emisji, założenia'!D17/1000000</f>
        <v>0</v>
      </c>
      <c r="F41" s="509">
        <f>$B$41*$B$21*'Wskaźniki emisji, założenia'!E17/1000000</f>
        <v>0</v>
      </c>
      <c r="G41" s="509">
        <f>$B$41*$B$21*'Wskaźniki emisji, założenia'!F17/1000000</f>
        <v>0</v>
      </c>
      <c r="H41" s="509">
        <f>$B$41*$B$21*'Wskaźniki emisji, założenia'!G17/1000000</f>
        <v>0</v>
      </c>
      <c r="I41" s="509">
        <f>$B$41*$B$21*'Wskaźniki emisji, założenia'!H17/1000000</f>
        <v>0</v>
      </c>
      <c r="J41" s="509">
        <f>'Wskaźniki emisji, założenia'!B28/1000000*$B$41*$B$22</f>
        <v>0</v>
      </c>
      <c r="K41" s="509">
        <f>'Wskaźniki emisji, założenia'!C28/1000000*$B$41*$B$22</f>
        <v>0</v>
      </c>
      <c r="L41" s="509">
        <f>'Wskaźniki emisji, założenia'!D28/1000000*$B$41*$B$22</f>
        <v>0</v>
      </c>
      <c r="M41" s="509">
        <f>'Wskaźniki emisji, założenia'!E28/1000000*$B$41*$B$22</f>
        <v>0</v>
      </c>
      <c r="N41" s="509">
        <f>'Wskaźniki emisji, założenia'!F28/1000000*$B$41*$B$22</f>
        <v>0</v>
      </c>
      <c r="O41" s="509">
        <f>'Wskaźniki emisji, założenia'!G28/1000000*$B$41*$B$22</f>
        <v>0</v>
      </c>
      <c r="P41" s="509">
        <f>'Wskaźniki emisji, założenia'!H28/1000000*$B$41*$B$22</f>
        <v>0</v>
      </c>
    </row>
    <row r="42" spans="1:16">
      <c r="A42" s="408" t="s">
        <v>385</v>
      </c>
      <c r="B42" s="482">
        <v>2E-3</v>
      </c>
      <c r="C42" s="509">
        <f>$B$42*$B$21*'Wskaźniki emisji, założenia'!B18/1000000</f>
        <v>0</v>
      </c>
      <c r="D42" s="509">
        <f>$B$42*$B$21*'Wskaźniki emisji, założenia'!C18/1000000</f>
        <v>0</v>
      </c>
      <c r="E42" s="509">
        <f>$B$42*$B$21*'Wskaźniki emisji, założenia'!D18/1000000</f>
        <v>0</v>
      </c>
      <c r="F42" s="509">
        <f>$B$42*$B$21*'Wskaźniki emisji, założenia'!E18/1000000</f>
        <v>0</v>
      </c>
      <c r="G42" s="509">
        <f>$B$42*$B$21*'Wskaźniki emisji, założenia'!F18/1000000</f>
        <v>0</v>
      </c>
      <c r="H42" s="509">
        <f>$B$42*$B$21*'Wskaźniki emisji, założenia'!G18/1000000</f>
        <v>0</v>
      </c>
      <c r="I42" s="509">
        <f>$B$42*$B$21*'Wskaźniki emisji, założenia'!H18/1000000</f>
        <v>0</v>
      </c>
      <c r="J42" s="509">
        <f>'Wskaźniki emisji, założenia'!B29/1000000*$B$42*$B$22</f>
        <v>0</v>
      </c>
      <c r="K42" s="509">
        <f>'Wskaźniki emisji, założenia'!C29/1000000*$B$42*$B$22</f>
        <v>0</v>
      </c>
      <c r="L42" s="509">
        <f>'Wskaźniki emisji, założenia'!D29/1000000*$B$42*$B$22</f>
        <v>0</v>
      </c>
      <c r="M42" s="509">
        <f>'Wskaźniki emisji, założenia'!E29/1000000*$B$42*$B$22</f>
        <v>0</v>
      </c>
      <c r="N42" s="509">
        <f>'Wskaźniki emisji, założenia'!F29/1000000*$B$42*$B$22</f>
        <v>0</v>
      </c>
      <c r="O42" s="509">
        <f>'Wskaźniki emisji, założenia'!G29/1000000*$B$42*$B$22</f>
        <v>0</v>
      </c>
      <c r="P42" s="509">
        <f>'Wskaźniki emisji, założenia'!H29/1000000*$B$42*$B$22</f>
        <v>0</v>
      </c>
    </row>
    <row r="43" spans="1:16">
      <c r="A43" s="408" t="s">
        <v>386</v>
      </c>
      <c r="B43" s="482">
        <v>0</v>
      </c>
      <c r="C43" s="509">
        <f>$B$43*$B$21*'Wskaźniki emisji, założenia'!B19/1000000</f>
        <v>0</v>
      </c>
      <c r="D43" s="509">
        <f>$B$43*$B$21*'Wskaźniki emisji, założenia'!C19/1000000</f>
        <v>0</v>
      </c>
      <c r="E43" s="509">
        <f>$B$43*$B$21*'Wskaźniki emisji, założenia'!D19/1000000</f>
        <v>0</v>
      </c>
      <c r="F43" s="509">
        <f>$B$43*$B$21*'Wskaźniki emisji, założenia'!E19/1000000</f>
        <v>0</v>
      </c>
      <c r="G43" s="509">
        <f>$B$43*$B$21*'Wskaźniki emisji, założenia'!F19/1000000</f>
        <v>0</v>
      </c>
      <c r="H43" s="509">
        <f>$B$43*$B$21*'Wskaźniki emisji, założenia'!G19/1000000</f>
        <v>0</v>
      </c>
      <c r="I43" s="509">
        <f>$B$43*$B$21*'Wskaźniki emisji, założenia'!H19/1000000</f>
        <v>0</v>
      </c>
      <c r="J43" s="509">
        <f>'Wskaźniki emisji, założenia'!B30/1000000*$B$43*$B$22</f>
        <v>0</v>
      </c>
      <c r="K43" s="509">
        <f>'Wskaźniki emisji, założenia'!C30/1000000*$B$43*$B$22</f>
        <v>0</v>
      </c>
      <c r="L43" s="509">
        <f>'Wskaźniki emisji, założenia'!D30/1000000*$B$43*$B$22</f>
        <v>0</v>
      </c>
      <c r="M43" s="509">
        <f>'Wskaźniki emisji, założenia'!E30/1000000*$B$43*$B$22</f>
        <v>0</v>
      </c>
      <c r="N43" s="509">
        <f>'Wskaźniki emisji, założenia'!F30/1000000*$B$43*$B$22</f>
        <v>0</v>
      </c>
      <c r="O43" s="509">
        <f>'Wskaźniki emisji, założenia'!G30/1000000*$B$43*$B$22</f>
        <v>0</v>
      </c>
      <c r="P43" s="509">
        <f>'Wskaźniki emisji, założenia'!H30/1000000*$B$43*$B$22</f>
        <v>0</v>
      </c>
    </row>
    <row r="44" spans="1:16" ht="15">
      <c r="A44" s="510" t="s">
        <v>360</v>
      </c>
      <c r="B44" s="511"/>
      <c r="C44" s="511"/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2"/>
    </row>
    <row r="45" spans="1:16">
      <c r="A45" s="408" t="s">
        <v>371</v>
      </c>
      <c r="B45" s="482">
        <v>8.6835561531118155E-2</v>
      </c>
      <c r="C45" s="509">
        <f>'Wskaźniki emisji, założenia'!B32*$B$45*$B$21/1000000</f>
        <v>0</v>
      </c>
      <c r="D45" s="509">
        <f>'Wskaźniki emisji, założenia'!C32*$B$45*$B$21/1000000</f>
        <v>0</v>
      </c>
      <c r="E45" s="509">
        <f>'Wskaźniki emisji, założenia'!D32*$B$45*$B$21/1000000</f>
        <v>0</v>
      </c>
      <c r="F45" s="509">
        <f>'Wskaźniki emisji, założenia'!E32*$B$45*$B$21/1000000</f>
        <v>0</v>
      </c>
      <c r="G45" s="509">
        <f>'Wskaźniki emisji, założenia'!F32*$B$45*$B$21/1000000</f>
        <v>0</v>
      </c>
      <c r="H45" s="509">
        <f>'Wskaźniki emisji, założenia'!G32*$B$45*$B$21/1000000</f>
        <v>0</v>
      </c>
      <c r="I45" s="509">
        <f>'Wskaźniki emisji, założenia'!H32*$B$45*$B$21/1000000</f>
        <v>0</v>
      </c>
      <c r="J45" s="509">
        <v>0</v>
      </c>
      <c r="K45" s="509">
        <v>0</v>
      </c>
      <c r="L45" s="509">
        <v>0</v>
      </c>
      <c r="M45" s="509">
        <v>0</v>
      </c>
      <c r="N45" s="509">
        <v>0</v>
      </c>
      <c r="O45" s="509">
        <v>0</v>
      </c>
      <c r="P45" s="509">
        <v>0</v>
      </c>
    </row>
    <row r="46" spans="1:16">
      <c r="A46" s="408" t="s">
        <v>372</v>
      </c>
      <c r="B46" s="482">
        <v>0</v>
      </c>
      <c r="C46" s="509">
        <f>'Wskaźniki emisji, założenia'!B33*$B$46*$B$21/1000000</f>
        <v>0</v>
      </c>
      <c r="D46" s="509">
        <f>'Wskaźniki emisji, założenia'!C33*$B$46*$B$21/1000000</f>
        <v>0</v>
      </c>
      <c r="E46" s="509">
        <f>'Wskaźniki emisji, założenia'!D33*$B$46*$B$21/1000000</f>
        <v>0</v>
      </c>
      <c r="F46" s="509">
        <f>'Wskaźniki emisji, założenia'!E33*$B$46*$B$21/1000000</f>
        <v>0</v>
      </c>
      <c r="G46" s="509">
        <f>'Wskaźniki emisji, założenia'!F33*$B$46*$B$21/1000000</f>
        <v>0</v>
      </c>
      <c r="H46" s="509">
        <f>'Wskaźniki emisji, założenia'!G33*$B$46*$B$21/1000000</f>
        <v>0</v>
      </c>
      <c r="I46" s="509">
        <f>'Wskaźniki emisji, założenia'!H33*$B$46*$B$21/1000000</f>
        <v>0</v>
      </c>
      <c r="J46" s="509">
        <v>0</v>
      </c>
      <c r="K46" s="509">
        <v>0</v>
      </c>
      <c r="L46" s="509">
        <v>0</v>
      </c>
      <c r="M46" s="509">
        <v>0</v>
      </c>
      <c r="N46" s="509">
        <v>0</v>
      </c>
      <c r="O46" s="509">
        <v>0</v>
      </c>
      <c r="P46" s="509">
        <v>0</v>
      </c>
    </row>
    <row r="47" spans="1:16" ht="15">
      <c r="A47" s="510" t="s">
        <v>392</v>
      </c>
      <c r="B47" s="511"/>
      <c r="C47" s="511"/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2"/>
    </row>
    <row r="48" spans="1:16">
      <c r="A48" s="408" t="s">
        <v>373</v>
      </c>
      <c r="B48" s="482">
        <v>4.5594741865878703E-2</v>
      </c>
      <c r="C48" s="509">
        <f>'Wskaźniki emisji, założenia'!B37/1000000*$B$48*$B$21</f>
        <v>0</v>
      </c>
      <c r="D48" s="509">
        <f>'Wskaźniki emisji, założenia'!C37/1000000*$B$48*$B$21</f>
        <v>0</v>
      </c>
      <c r="E48" s="509">
        <f>'Wskaźniki emisji, założenia'!D37/1000000*$B$48*$B$21</f>
        <v>0</v>
      </c>
      <c r="F48" s="509">
        <f>'Wskaźniki emisji, założenia'!E37/1000000*$B$48*$B$21</f>
        <v>0</v>
      </c>
      <c r="G48" s="509">
        <f>'Wskaźniki emisji, założenia'!F37/1000000*$B$48*$B$21</f>
        <v>0</v>
      </c>
      <c r="H48" s="509">
        <f>'Wskaźniki emisji, założenia'!G37/1000000*$B$48*$B$21</f>
        <v>0</v>
      </c>
      <c r="I48" s="509">
        <f>'Wskaźniki emisji, założenia'!H37/1000000*$B$48*$B$21</f>
        <v>0</v>
      </c>
      <c r="J48" s="509">
        <f>'Wskaźniki emisji, założenia'!B42/1000000*$B$22*$B$48</f>
        <v>0</v>
      </c>
      <c r="K48" s="509">
        <f>'Wskaźniki emisji, założenia'!C42/1000000*$B$22*$B$48</f>
        <v>0</v>
      </c>
      <c r="L48" s="509">
        <f>'Wskaźniki emisji, założenia'!D42/1000000*$B$22*$B$48</f>
        <v>0</v>
      </c>
      <c r="M48" s="509">
        <f>'Wskaźniki emisji, założenia'!E42/1000000*$B$22*$B$48</f>
        <v>0</v>
      </c>
      <c r="N48" s="509">
        <f>'Wskaźniki emisji, założenia'!F42/1000000*$B$22*$B$48</f>
        <v>0</v>
      </c>
      <c r="O48" s="509">
        <f>'Wskaźniki emisji, założenia'!G42/1000000*$B$22*$B$48</f>
        <v>0</v>
      </c>
      <c r="P48" s="509">
        <f>'Wskaźniki emisji, założenia'!H42/1000000*$B$22*$B$48</f>
        <v>0</v>
      </c>
    </row>
    <row r="49" spans="1:17">
      <c r="A49" s="408" t="s">
        <v>374</v>
      </c>
      <c r="B49" s="482">
        <v>0</v>
      </c>
      <c r="C49" s="509">
        <f>'Wskaźniki emisji, założenia'!B38/1000000*$B$49*$B$21</f>
        <v>0</v>
      </c>
      <c r="D49" s="509">
        <f>'Wskaźniki emisji, założenia'!C38/1000000*$B$49*$B$21</f>
        <v>0</v>
      </c>
      <c r="E49" s="509">
        <f>'Wskaźniki emisji, założenia'!D38/1000000*$B$49*$B$21</f>
        <v>0</v>
      </c>
      <c r="F49" s="509">
        <f>'Wskaźniki emisji, założenia'!E38/1000000*$B$49*$B$21</f>
        <v>0</v>
      </c>
      <c r="G49" s="509">
        <f>'Wskaźniki emisji, założenia'!F38/1000000*$B$49*$B$21</f>
        <v>0</v>
      </c>
      <c r="H49" s="509">
        <f>'Wskaźniki emisji, założenia'!G38/1000000*$B$49*$B$21</f>
        <v>0</v>
      </c>
      <c r="I49" s="509">
        <f>'Wskaźniki emisji, założenia'!H38/1000000*$B$49*$B$21</f>
        <v>0</v>
      </c>
      <c r="J49" s="509">
        <f>'Wskaźniki emisji, założenia'!B43/1000000*$B$22*$B$49</f>
        <v>0</v>
      </c>
      <c r="K49" s="509">
        <f>'Wskaźniki emisji, założenia'!C43/1000000*$B$22*$B$49</f>
        <v>0</v>
      </c>
      <c r="L49" s="509">
        <f>'Wskaźniki emisji, założenia'!D43/1000000*$B$22*$B$49</f>
        <v>0</v>
      </c>
      <c r="M49" s="509">
        <f>'Wskaźniki emisji, założenia'!E43/1000000*$B$22*$B$49</f>
        <v>0</v>
      </c>
      <c r="N49" s="509">
        <f>'Wskaźniki emisji, założenia'!F43/1000000*$B$22*$B$49</f>
        <v>0</v>
      </c>
      <c r="O49" s="509">
        <f>'Wskaźniki emisji, założenia'!G43/1000000*$B$22*$B$49</f>
        <v>0</v>
      </c>
      <c r="P49" s="509">
        <f>'Wskaźniki emisji, założenia'!H43/1000000*$B$22*$B$49</f>
        <v>0</v>
      </c>
    </row>
    <row r="50" spans="1:17" ht="15">
      <c r="A50" s="510" t="s">
        <v>316</v>
      </c>
      <c r="B50" s="511"/>
      <c r="C50" s="511"/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2"/>
    </row>
    <row r="51" spans="1:17">
      <c r="A51" s="434" t="s">
        <v>375</v>
      </c>
      <c r="B51" s="482">
        <v>5.1211754758035827E-2</v>
      </c>
      <c r="C51" s="509">
        <v>0</v>
      </c>
      <c r="D51" s="509">
        <v>0</v>
      </c>
      <c r="E51" s="509">
        <v>0</v>
      </c>
      <c r="F51" s="509">
        <v>0</v>
      </c>
      <c r="G51" s="509">
        <v>0</v>
      </c>
      <c r="H51" s="509">
        <v>0</v>
      </c>
      <c r="I51" s="509">
        <v>0</v>
      </c>
      <c r="J51" s="509">
        <f>'Wskaźniki emisji, założenia'!B47*$B$51*$B$22/1000000</f>
        <v>0</v>
      </c>
      <c r="K51" s="509">
        <f>'Wskaźniki emisji, założenia'!C47*$B$51*$B$22/1000000</f>
        <v>0</v>
      </c>
      <c r="L51" s="509">
        <f>'Wskaźniki emisji, założenia'!D47*$B$51*$B$22/1000000</f>
        <v>0</v>
      </c>
      <c r="M51" s="509">
        <f>'Wskaźniki emisji, założenia'!E47*$B$51*$B$22/1000000</f>
        <v>0</v>
      </c>
      <c r="N51" s="509">
        <f>'Wskaźniki emisji, założenia'!F47*$B$51*$B$22/1000000</f>
        <v>0</v>
      </c>
      <c r="O51" s="509">
        <f>'Wskaźniki emisji, założenia'!G47*$B$51*$B$22/1000000</f>
        <v>0</v>
      </c>
      <c r="P51" s="509">
        <f>'Wskaźniki emisji, założenia'!H47*$B$51*$B$22/1000000</f>
        <v>0</v>
      </c>
    </row>
    <row r="52" spans="1:17">
      <c r="A52" s="434" t="s">
        <v>390</v>
      </c>
      <c r="B52" s="482">
        <v>0</v>
      </c>
      <c r="C52" s="509">
        <v>0</v>
      </c>
      <c r="D52" s="509">
        <v>0</v>
      </c>
      <c r="E52" s="509">
        <v>0</v>
      </c>
      <c r="F52" s="509">
        <v>0</v>
      </c>
      <c r="G52" s="509">
        <v>0</v>
      </c>
      <c r="H52" s="509">
        <v>0</v>
      </c>
      <c r="I52" s="509">
        <v>0</v>
      </c>
      <c r="J52" s="509">
        <f>'Wskaźniki emisji, założenia'!B48*$B$52*$B$22/1000000</f>
        <v>0</v>
      </c>
      <c r="K52" s="509">
        <f>'Wskaźniki emisji, założenia'!C48*$B$52*$B$22/1000000</f>
        <v>0</v>
      </c>
      <c r="L52" s="509">
        <f>'Wskaźniki emisji, założenia'!D48*$B$52*$B$22/1000000</f>
        <v>0</v>
      </c>
      <c r="M52" s="509">
        <f>'Wskaźniki emisji, założenia'!E48*$B$52*$B$22/1000000</f>
        <v>0</v>
      </c>
      <c r="N52" s="509">
        <f>'Wskaźniki emisji, założenia'!F48*$B$52*$B$22/1000000</f>
        <v>0</v>
      </c>
      <c r="O52" s="509">
        <f>'Wskaźniki emisji, założenia'!G48*$B$52*$B$22/1000000</f>
        <v>0</v>
      </c>
      <c r="P52" s="509">
        <f>'Wskaźniki emisji, założenia'!H48*$B$52*$B$22/1000000</f>
        <v>0</v>
      </c>
    </row>
    <row r="53" spans="1:17" ht="15">
      <c r="A53" s="510" t="s">
        <v>363</v>
      </c>
      <c r="B53" s="511"/>
      <c r="C53" s="511"/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2"/>
    </row>
    <row r="54" spans="1:17">
      <c r="A54" s="436" t="s">
        <v>376</v>
      </c>
      <c r="B54" s="482">
        <v>9.2896743854053651E-2</v>
      </c>
      <c r="C54" s="509">
        <f>$B$54*$B$21*'Wskaźniki emisji, założenia'!B52/1000000</f>
        <v>0</v>
      </c>
      <c r="D54" s="509">
        <f>$B$54*$B$21*'Wskaźniki emisji, założenia'!C52/1000000</f>
        <v>0</v>
      </c>
      <c r="E54" s="509">
        <f>$B$54*$B$21*'Wskaźniki emisji, założenia'!D52/1000000</f>
        <v>0</v>
      </c>
      <c r="F54" s="509">
        <f>$B$54*$B$21*'Wskaźniki emisji, założenia'!E52/1000000</f>
        <v>0</v>
      </c>
      <c r="G54" s="509">
        <f>$B$54*$B$21*'Wskaźniki emisji, założenia'!F52/1000000</f>
        <v>0</v>
      </c>
      <c r="H54" s="509">
        <f>$B$54*$B$21*'Wskaźniki emisji, założenia'!G52/1000000</f>
        <v>0</v>
      </c>
      <c r="I54" s="509">
        <f>$B$54*$B$21*'Wskaźniki emisji, założenia'!H52/1000000</f>
        <v>0</v>
      </c>
      <c r="J54" s="509">
        <f>'Wskaźniki emisji, założenia'!B57/1000000*$B$54*$B$21</f>
        <v>0</v>
      </c>
      <c r="K54" s="509">
        <f>'Wskaźniki emisji, założenia'!C57/1000000*$B$54*$B$21</f>
        <v>0</v>
      </c>
      <c r="L54" s="509">
        <f>'Wskaźniki emisji, założenia'!D57/1000000*$B$54*$B$21</f>
        <v>0</v>
      </c>
      <c r="M54" s="509">
        <f>'Wskaźniki emisji, założenia'!E57/1000000*$B$54*$B$21</f>
        <v>0</v>
      </c>
      <c r="N54" s="509">
        <f>'Wskaźniki emisji, założenia'!F57/1000000*$B$54*$B$21</f>
        <v>0</v>
      </c>
      <c r="O54" s="509">
        <f>'Wskaźniki emisji, założenia'!G57/1000000*$B$54*$B$21</f>
        <v>0</v>
      </c>
      <c r="P54" s="509">
        <f>'Wskaźniki emisji, założenia'!H57/1000000*$B$54*$B$21</f>
        <v>0</v>
      </c>
    </row>
    <row r="55" spans="1:17">
      <c r="A55" s="408" t="s">
        <v>377</v>
      </c>
      <c r="B55" s="482">
        <v>0</v>
      </c>
      <c r="C55" s="509">
        <f>$B$55*$B$21*'Wskaźniki emisji, założenia'!B53/1000000</f>
        <v>0</v>
      </c>
      <c r="D55" s="509">
        <f>$B$55*$B$21*'Wskaźniki emisji, założenia'!C53/1000000</f>
        <v>0</v>
      </c>
      <c r="E55" s="509">
        <f>$B$55*$B$21*'Wskaźniki emisji, założenia'!D53/1000000</f>
        <v>0</v>
      </c>
      <c r="F55" s="509">
        <f>$B$55*$B$21*'Wskaźniki emisji, założenia'!E53/1000000</f>
        <v>0</v>
      </c>
      <c r="G55" s="509">
        <f>$B$55*$B$21*'Wskaźniki emisji, założenia'!F53/1000000</f>
        <v>0</v>
      </c>
      <c r="H55" s="509">
        <f>$B$55*$B$21*'Wskaźniki emisji, założenia'!G53/1000000</f>
        <v>0</v>
      </c>
      <c r="I55" s="509">
        <f>$B$55*$B$21*'Wskaźniki emisji, założenia'!H53/1000000</f>
        <v>0</v>
      </c>
      <c r="J55" s="509">
        <f>'Wskaźniki emisji, założenia'!B58/1000000*$B$55*$B$22</f>
        <v>0</v>
      </c>
      <c r="K55" s="509">
        <f>'Wskaźniki emisji, założenia'!C58/1000000*$B$55*$B$22</f>
        <v>0</v>
      </c>
      <c r="L55" s="509">
        <f>'Wskaźniki emisji, założenia'!D58/1000000*$B$55*$B$22</f>
        <v>0</v>
      </c>
      <c r="M55" s="509">
        <f>'Wskaźniki emisji, założenia'!E58/1000000*$B$55*$B$22</f>
        <v>0</v>
      </c>
      <c r="N55" s="509">
        <f>'Wskaźniki emisji, założenia'!F58/1000000*$B$55*$B$22</f>
        <v>0</v>
      </c>
      <c r="O55" s="509">
        <f>'Wskaźniki emisji, założenia'!G58/1000000*$B$55*$B$22</f>
        <v>0</v>
      </c>
      <c r="P55" s="509">
        <f>'Wskaźniki emisji, założenia'!H58/1000000*$B$55*$B$22</f>
        <v>0</v>
      </c>
    </row>
    <row r="56" spans="1:17">
      <c r="A56" s="434"/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4"/>
      <c r="M56" s="434"/>
      <c r="N56" s="434"/>
      <c r="O56" s="434"/>
      <c r="P56" s="434"/>
    </row>
    <row r="57" spans="1:17" ht="15" customHeight="1">
      <c r="A57" s="434"/>
      <c r="B57" s="434"/>
      <c r="C57" s="434"/>
      <c r="D57" s="727" t="s">
        <v>418</v>
      </c>
      <c r="E57" s="727"/>
      <c r="F57" s="727"/>
      <c r="G57" s="727"/>
      <c r="H57" s="727"/>
      <c r="I57" s="727"/>
      <c r="J57" s="727"/>
      <c r="K57" s="513"/>
      <c r="L57" s="513"/>
      <c r="M57" s="513"/>
      <c r="N57" s="513"/>
      <c r="O57" s="513"/>
      <c r="P57" s="513"/>
    </row>
    <row r="58" spans="1:17" ht="14.25" customHeight="1">
      <c r="A58" s="434"/>
      <c r="B58" s="434"/>
      <c r="C58" s="434"/>
      <c r="D58" s="508" t="s">
        <v>332</v>
      </c>
      <c r="E58" s="508" t="s">
        <v>333</v>
      </c>
      <c r="F58" s="508" t="s">
        <v>334</v>
      </c>
      <c r="G58" s="508" t="s">
        <v>335</v>
      </c>
      <c r="H58" s="508" t="s">
        <v>336</v>
      </c>
      <c r="I58" s="508" t="s">
        <v>337</v>
      </c>
      <c r="J58" s="508" t="s">
        <v>338</v>
      </c>
      <c r="K58" s="513"/>
      <c r="L58" s="513"/>
      <c r="M58" s="513"/>
      <c r="N58" s="513"/>
      <c r="O58" s="513"/>
      <c r="P58" s="513"/>
    </row>
    <row r="59" spans="1:17">
      <c r="A59" s="434"/>
      <c r="B59" s="434"/>
      <c r="C59" s="434"/>
      <c r="D59" s="509">
        <f>$B$23*'Wskaźniki emisji, założenia'!B4/1000000</f>
        <v>0</v>
      </c>
      <c r="E59" s="509">
        <f>$B$23*'Wskaźniki emisji, założenia'!C4/1000000</f>
        <v>0</v>
      </c>
      <c r="F59" s="509">
        <f>$B$23*'Wskaźniki emisji, założenia'!D4/1000000</f>
        <v>0</v>
      </c>
      <c r="G59" s="509">
        <f>$B$23*'Wskaźniki emisji, założenia'!E4/1000000</f>
        <v>0</v>
      </c>
      <c r="H59" s="509">
        <f>$B$23*'Wskaźniki emisji, założenia'!F4/1000000</f>
        <v>0</v>
      </c>
      <c r="I59" s="509">
        <f>$B$23*'Wskaźniki emisji, założenia'!G4/1000000</f>
        <v>0</v>
      </c>
      <c r="J59" s="509">
        <f>$B$23*'Wskaźniki emisji, założenia'!H4/1000000</f>
        <v>0</v>
      </c>
      <c r="K59" s="513"/>
      <c r="L59" s="513"/>
      <c r="M59" s="513"/>
      <c r="N59" s="513"/>
      <c r="O59" s="513"/>
      <c r="P59" s="513"/>
      <c r="Q59" s="434"/>
    </row>
    <row r="60" spans="1:17" ht="15">
      <c r="A60" s="434"/>
      <c r="B60" s="434"/>
      <c r="C60" s="434"/>
      <c r="D60" s="727" t="s">
        <v>419</v>
      </c>
      <c r="E60" s="727"/>
      <c r="F60" s="727"/>
      <c r="G60" s="727"/>
      <c r="H60" s="727"/>
      <c r="I60" s="727"/>
      <c r="J60" s="727"/>
      <c r="K60" s="513"/>
      <c r="L60" s="513"/>
      <c r="M60" s="513"/>
      <c r="N60" s="513"/>
      <c r="O60" s="513"/>
      <c r="P60" s="513"/>
      <c r="Q60" s="434"/>
    </row>
    <row r="61" spans="1:17">
      <c r="A61" s="434"/>
      <c r="B61" s="434"/>
      <c r="C61" s="434"/>
      <c r="D61" s="509">
        <f>$B$24*'Wskaźniki emisji, założenia'!B5/1000000</f>
        <v>0</v>
      </c>
      <c r="E61" s="509">
        <f>$B$24*'Wskaźniki emisji, założenia'!C5/1000000</f>
        <v>0</v>
      </c>
      <c r="F61" s="509">
        <f>$B$24*'Wskaźniki emisji, założenia'!D5/1000000</f>
        <v>0</v>
      </c>
      <c r="G61" s="509">
        <f>$B$24*'Wskaźniki emisji, założenia'!E5/1000000</f>
        <v>0</v>
      </c>
      <c r="H61" s="509">
        <f>$B$24*'Wskaźniki emisji, założenia'!F5/1000000</f>
        <v>0</v>
      </c>
      <c r="I61" s="509">
        <f>$B$24*'Wskaźniki emisji, założenia'!G5/1000000</f>
        <v>0</v>
      </c>
      <c r="J61" s="509">
        <f>$B$24*'Wskaźniki emisji, założenia'!H5/1000000</f>
        <v>0</v>
      </c>
      <c r="K61" s="513"/>
      <c r="L61" s="513"/>
      <c r="M61" s="513"/>
      <c r="N61" s="513"/>
      <c r="O61" s="513"/>
      <c r="P61" s="513"/>
      <c r="Q61" s="434"/>
    </row>
    <row r="62" spans="1:17">
      <c r="A62" s="434"/>
      <c r="B62" s="434"/>
      <c r="C62" s="434"/>
      <c r="K62" s="513"/>
      <c r="L62" s="513"/>
      <c r="M62" s="513"/>
      <c r="N62" s="513"/>
      <c r="O62" s="513"/>
      <c r="P62" s="513"/>
    </row>
    <row r="63" spans="1:17" ht="12.75" customHeight="1">
      <c r="A63" s="434"/>
      <c r="B63" s="434"/>
      <c r="C63" s="434"/>
    </row>
    <row r="64" spans="1:17">
      <c r="A64" s="434"/>
      <c r="B64" s="434"/>
      <c r="C64" s="434"/>
    </row>
    <row r="65" spans="1:3">
      <c r="A65" s="434"/>
      <c r="B65" s="434"/>
      <c r="C65" s="434"/>
    </row>
  </sheetData>
  <mergeCells count="7">
    <mergeCell ref="D60:J60"/>
    <mergeCell ref="A1:T1"/>
    <mergeCell ref="A31:B32"/>
    <mergeCell ref="C31:I31"/>
    <mergeCell ref="J31:P31"/>
    <mergeCell ref="A33:P33"/>
    <mergeCell ref="D57:J57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0" tint="-0.34998626667073579"/>
  </sheetPr>
  <dimension ref="A1:U78"/>
  <sheetViews>
    <sheetView view="pageBreakPreview" zoomScale="85" zoomScaleNormal="70" zoomScaleSheetLayoutView="85" workbookViewId="0">
      <pane ySplit="1" topLeftCell="A2" activePane="bottomLeft" state="frozen"/>
      <selection pane="bottomLeft" activeCell="C33" sqref="C33:C39"/>
    </sheetView>
  </sheetViews>
  <sheetFormatPr defaultRowHeight="14.25"/>
  <cols>
    <col min="1" max="1" width="26.875" customWidth="1"/>
    <col min="2" max="2" width="12.125" customWidth="1"/>
    <col min="3" max="3" width="12" customWidth="1"/>
    <col min="4" max="4" width="9.375" bestFit="1" customWidth="1"/>
    <col min="5" max="5" width="9.75" bestFit="1" customWidth="1"/>
    <col min="11" max="11" width="9.375" bestFit="1" customWidth="1"/>
    <col min="13" max="13" width="10" bestFit="1" customWidth="1"/>
    <col min="24" max="24" width="9.5" bestFit="1" customWidth="1"/>
  </cols>
  <sheetData>
    <row r="1" spans="1:21" ht="15">
      <c r="A1" s="740" t="s">
        <v>357</v>
      </c>
      <c r="B1" s="740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  <c r="O1" s="740"/>
      <c r="P1" s="740"/>
      <c r="Q1" s="740"/>
      <c r="R1" s="740"/>
      <c r="S1" s="740"/>
      <c r="T1" s="740"/>
      <c r="U1" s="740"/>
    </row>
    <row r="3" spans="1:21" ht="15">
      <c r="A3" s="407" t="s">
        <v>425</v>
      </c>
    </row>
    <row r="4" spans="1:21" ht="28.5">
      <c r="A4" s="3" t="s">
        <v>358</v>
      </c>
      <c r="B4" s="426" t="s">
        <v>369</v>
      </c>
    </row>
    <row r="5" spans="1:21" ht="15">
      <c r="A5" s="3" t="s">
        <v>8</v>
      </c>
      <c r="B5" s="423" t="e">
        <f>SUMIFS(#REF!,#REF!,A5)</f>
        <v>#REF!</v>
      </c>
      <c r="G5" s="407" t="s">
        <v>365</v>
      </c>
    </row>
    <row r="6" spans="1:21">
      <c r="A6" s="3" t="s">
        <v>1</v>
      </c>
      <c r="B6" s="423" t="e">
        <f>SUMIFS(#REF!,#REF!,A6)</f>
        <v>#REF!</v>
      </c>
      <c r="G6" s="419" t="s">
        <v>332</v>
      </c>
      <c r="H6" s="419" t="s">
        <v>333</v>
      </c>
      <c r="I6" s="419" t="s">
        <v>334</v>
      </c>
      <c r="J6" s="419" t="s">
        <v>335</v>
      </c>
      <c r="K6" s="419" t="s">
        <v>336</v>
      </c>
      <c r="L6" s="419" t="s">
        <v>337</v>
      </c>
      <c r="M6" s="419" t="s">
        <v>338</v>
      </c>
    </row>
    <row r="7" spans="1:21">
      <c r="A7" s="3" t="s">
        <v>26</v>
      </c>
      <c r="B7" s="423" t="e">
        <f>SUMIFS(#REF!,#REF!,A7)+COUNTIFS(#REF!,'Mieszkalne emisja, energia'!A7)*#REF!*#REF!</f>
        <v>#REF!</v>
      </c>
      <c r="G7" s="422" t="e">
        <f>SUM(D46:D73)+SUM(K46:K73)</f>
        <v>#REF!</v>
      </c>
      <c r="H7" s="422" t="e">
        <f>SUM(E46:E73)+SUM(L46:L73)</f>
        <v>#REF!</v>
      </c>
      <c r="I7" s="422" t="e">
        <f>SUM(F46:F73)+SUM(M46:M73)+B29*'Wskaźniki emisji, założenia'!C72</f>
        <v>#REF!</v>
      </c>
      <c r="J7" s="422" t="e">
        <f>SUM(G46:G73)+SUM(N46:N73)</f>
        <v>#REF!</v>
      </c>
      <c r="K7" s="422" t="e">
        <f>SUM(H46:H73)+SUM(O46:O73)</f>
        <v>#REF!</v>
      </c>
      <c r="L7" s="422" t="e">
        <f>SUM(I46:I73)+SUM(P46:P73)</f>
        <v>#REF!</v>
      </c>
      <c r="M7" s="422" t="e">
        <f>SUM(J46:J73)+SUM(Q46:Q73)</f>
        <v>#REF!</v>
      </c>
    </row>
    <row r="8" spans="1:21">
      <c r="A8" s="3" t="s">
        <v>7</v>
      </c>
      <c r="B8" s="423" t="e">
        <f>SUMIFS(#REF!,#REF!,A8)</f>
        <v>#REF!</v>
      </c>
      <c r="G8" s="430"/>
      <c r="H8" s="430"/>
      <c r="I8" s="430"/>
      <c r="J8" s="430"/>
      <c r="K8" s="430"/>
      <c r="L8" s="430"/>
      <c r="M8" s="430"/>
    </row>
    <row r="9" spans="1:21">
      <c r="A9" s="3" t="s">
        <v>274</v>
      </c>
      <c r="B9" s="423" t="e">
        <f>SUMIFS(#REF!,#REF!,A9)</f>
        <v>#REF!</v>
      </c>
    </row>
    <row r="10" spans="1:21">
      <c r="A10" s="3" t="s">
        <v>3</v>
      </c>
      <c r="B10" s="423" t="e">
        <f>SUMIFS(#REF!,#REF!,A10)*1.8*520/1000*3.6</f>
        <v>#REF!</v>
      </c>
    </row>
    <row r="11" spans="1:21">
      <c r="A11" s="471" t="s">
        <v>2</v>
      </c>
      <c r="B11" s="423" t="e">
        <f>(#REF!+#REF!+#REF!+#REF!)*1*3.6</f>
        <v>#REF!</v>
      </c>
      <c r="D11" s="428"/>
    </row>
    <row r="12" spans="1:21">
      <c r="A12" s="421" t="s">
        <v>137</v>
      </c>
      <c r="B12" s="423" t="e">
        <f>SUM(B5:B11)</f>
        <v>#REF!</v>
      </c>
      <c r="C12" s="428"/>
    </row>
    <row r="13" spans="1:21" ht="15">
      <c r="A13" s="407" t="s">
        <v>359</v>
      </c>
    </row>
    <row r="14" spans="1:21">
      <c r="A14" s="3" t="s">
        <v>353</v>
      </c>
      <c r="B14" s="3"/>
      <c r="C14" s="423">
        <v>249247</v>
      </c>
      <c r="N14" s="416"/>
      <c r="O14" s="417"/>
    </row>
    <row r="15" spans="1:21">
      <c r="A15" s="3" t="s">
        <v>354</v>
      </c>
      <c r="B15" s="3"/>
      <c r="C15" s="423" t="e">
        <f>SUM(#REF!)</f>
        <v>#REF!</v>
      </c>
      <c r="D15" s="428"/>
      <c r="E15" s="428"/>
    </row>
    <row r="16" spans="1:21">
      <c r="A16" s="3" t="s">
        <v>355</v>
      </c>
      <c r="B16" s="3"/>
      <c r="C16" s="423" t="e">
        <f>B12</f>
        <v>#REF!</v>
      </c>
      <c r="D16" s="428"/>
      <c r="E16" s="428"/>
      <c r="M16" s="417"/>
    </row>
    <row r="17" spans="1:18">
      <c r="A17" s="3" t="s">
        <v>356</v>
      </c>
      <c r="B17" s="3"/>
      <c r="C17" s="423" t="e">
        <f>C16/C15*C14</f>
        <v>#REF!</v>
      </c>
    </row>
    <row r="19" spans="1:18" ht="28.5">
      <c r="A19" s="426" t="s">
        <v>358</v>
      </c>
      <c r="B19" s="426" t="s">
        <v>369</v>
      </c>
      <c r="C19" s="427" t="s">
        <v>178</v>
      </c>
      <c r="E19" s="428"/>
    </row>
    <row r="20" spans="1:18">
      <c r="A20" s="3" t="s">
        <v>8</v>
      </c>
      <c r="B20" s="423" t="e">
        <f>B5/$B$12*$C$17</f>
        <v>#REF!</v>
      </c>
      <c r="C20" s="420" t="e">
        <f t="shared" ref="C20:C26" si="0">B20/$B$27</f>
        <v>#REF!</v>
      </c>
      <c r="P20" s="429"/>
      <c r="Q20" s="429"/>
      <c r="R20" s="429"/>
    </row>
    <row r="21" spans="1:18">
      <c r="A21" s="3" t="s">
        <v>388</v>
      </c>
      <c r="B21" s="423" t="e">
        <f t="shared" ref="B21:B26" si="1">B6/$B$12*$C$17</f>
        <v>#REF!</v>
      </c>
      <c r="C21" s="420" t="e">
        <f t="shared" si="0"/>
        <v>#REF!</v>
      </c>
      <c r="P21" s="429"/>
      <c r="Q21" s="429"/>
      <c r="R21" s="429"/>
    </row>
    <row r="22" spans="1:18">
      <c r="A22" s="3" t="s">
        <v>26</v>
      </c>
      <c r="B22" s="423" t="e">
        <f t="shared" si="1"/>
        <v>#REF!</v>
      </c>
      <c r="C22" s="420" t="e">
        <f t="shared" si="0"/>
        <v>#REF!</v>
      </c>
      <c r="P22" s="429"/>
      <c r="Q22" s="429"/>
      <c r="R22" s="429"/>
    </row>
    <row r="23" spans="1:18">
      <c r="A23" t="s">
        <v>7</v>
      </c>
      <c r="B23" s="423" t="e">
        <f t="shared" si="1"/>
        <v>#REF!</v>
      </c>
      <c r="C23" s="420" t="e">
        <f t="shared" si="0"/>
        <v>#REF!</v>
      </c>
      <c r="N23" s="431"/>
      <c r="O23" s="429"/>
      <c r="P23" s="429"/>
      <c r="Q23" s="429"/>
      <c r="R23" s="429"/>
    </row>
    <row r="24" spans="1:18">
      <c r="A24" s="3" t="s">
        <v>9</v>
      </c>
      <c r="B24" s="423" t="e">
        <f t="shared" si="1"/>
        <v>#REF!</v>
      </c>
      <c r="C24" s="420" t="e">
        <f t="shared" si="0"/>
        <v>#REF!</v>
      </c>
      <c r="P24" s="429"/>
      <c r="Q24" s="429"/>
      <c r="R24" s="429"/>
    </row>
    <row r="25" spans="1:18">
      <c r="A25" s="3" t="s">
        <v>3</v>
      </c>
      <c r="B25" s="423" t="e">
        <f>B10/$B$12*$C$17</f>
        <v>#REF!</v>
      </c>
      <c r="C25" s="420" t="e">
        <f t="shared" si="0"/>
        <v>#REF!</v>
      </c>
      <c r="P25" s="429"/>
      <c r="Q25" s="429"/>
      <c r="R25" s="429"/>
    </row>
    <row r="26" spans="1:18">
      <c r="A26" s="3" t="s">
        <v>2</v>
      </c>
      <c r="B26" s="423" t="e">
        <f t="shared" si="1"/>
        <v>#REF!</v>
      </c>
      <c r="C26" s="420" t="e">
        <f t="shared" si="0"/>
        <v>#REF!</v>
      </c>
      <c r="P26" s="429"/>
      <c r="Q26" s="429"/>
      <c r="R26" s="429"/>
    </row>
    <row r="27" spans="1:18">
      <c r="A27" s="421" t="s">
        <v>137</v>
      </c>
      <c r="B27" s="424" t="e">
        <f>SUM(B20:B26)</f>
        <v>#REF!</v>
      </c>
      <c r="C27" s="425" t="e">
        <f>SUM(C20:C26)</f>
        <v>#REF!</v>
      </c>
      <c r="N27" s="416"/>
      <c r="P27" s="429"/>
      <c r="Q27" s="429"/>
    </row>
    <row r="28" spans="1:18">
      <c r="A28" t="s">
        <v>364</v>
      </c>
    </row>
    <row r="29" spans="1:18">
      <c r="B29" s="418">
        <f>0.766*8283</f>
        <v>6344.7780000000002</v>
      </c>
    </row>
    <row r="30" spans="1:18" ht="15">
      <c r="A30" s="407" t="s">
        <v>389</v>
      </c>
      <c r="B30" s="418"/>
    </row>
    <row r="31" spans="1:18">
      <c r="A31">
        <v>22211.64</v>
      </c>
      <c r="B31" s="418" t="s">
        <v>65</v>
      </c>
    </row>
    <row r="32" spans="1:18" ht="28.5">
      <c r="A32" s="426" t="s">
        <v>358</v>
      </c>
      <c r="B32" s="426" t="s">
        <v>369</v>
      </c>
      <c r="C32" s="427" t="s">
        <v>178</v>
      </c>
    </row>
    <row r="33" spans="1:17">
      <c r="A33" s="3" t="s">
        <v>8</v>
      </c>
      <c r="B33" s="432" t="e">
        <f>C33*$B$27</f>
        <v>#REF!</v>
      </c>
      <c r="C33" s="433" t="e">
        <f>C20-C20/SUM($C$20+$C$21+$C$23+$C$24+$C$25+$C$26)*(($A$31/$B$27)-$C$22)</f>
        <v>#REF!</v>
      </c>
    </row>
    <row r="34" spans="1:17">
      <c r="A34" s="3" t="s">
        <v>388</v>
      </c>
      <c r="B34" s="432" t="e">
        <f t="shared" ref="B34:B39" si="2">C34*$B$27</f>
        <v>#REF!</v>
      </c>
      <c r="C34" s="433" t="e">
        <f>C21-C21/SUM($C$20+$C$21+$C$23+$C$24+$C$25+$C$26)*(($A$31/$B$27)-$C$22)</f>
        <v>#REF!</v>
      </c>
    </row>
    <row r="35" spans="1:17">
      <c r="A35" s="3" t="s">
        <v>26</v>
      </c>
      <c r="B35" s="432">
        <f>A31</f>
        <v>22211.64</v>
      </c>
      <c r="C35" s="433" t="e">
        <f>B35/$B$27</f>
        <v>#REF!</v>
      </c>
    </row>
    <row r="36" spans="1:17">
      <c r="A36" t="s">
        <v>7</v>
      </c>
      <c r="B36" s="432" t="e">
        <f t="shared" si="2"/>
        <v>#REF!</v>
      </c>
      <c r="C36" s="433" t="e">
        <f>C23-C23/SUM($C$20+$C$21+$C$23+$C$24+$C$25+$C$26)*(($A$31/$B$27)-$C$22)</f>
        <v>#REF!</v>
      </c>
    </row>
    <row r="37" spans="1:17">
      <c r="A37" s="3" t="s">
        <v>9</v>
      </c>
      <c r="B37" s="432" t="e">
        <f t="shared" si="2"/>
        <v>#REF!</v>
      </c>
      <c r="C37" s="433" t="e">
        <f>C24-C24/SUM($C$20+$C$21+$C$23+$C$24+$C$25+$C$26)*(($A$31/$B$27)-$C$22)</f>
        <v>#REF!</v>
      </c>
    </row>
    <row r="38" spans="1:17">
      <c r="A38" s="3" t="s">
        <v>3</v>
      </c>
      <c r="B38" s="432" t="e">
        <f t="shared" si="2"/>
        <v>#REF!</v>
      </c>
      <c r="C38" s="433" t="e">
        <f>C25-C25/SUM($C$20+$C$21+$C$23+$C$24+$C$25+$C$26)*(($A$31/$B$27)-$C$22)</f>
        <v>#REF!</v>
      </c>
    </row>
    <row r="39" spans="1:17">
      <c r="A39" s="3" t="s">
        <v>2</v>
      </c>
      <c r="B39" s="432" t="e">
        <f t="shared" si="2"/>
        <v>#REF!</v>
      </c>
      <c r="C39" s="433" t="e">
        <f>C26-C26/SUM($C$20+$C$21+$C$23+$C$24+$C$25+$C$26)*(($A$31/$B$27)-$C$22)</f>
        <v>#REF!</v>
      </c>
    </row>
    <row r="40" spans="1:17">
      <c r="A40" s="421" t="s">
        <v>137</v>
      </c>
      <c r="B40" s="424" t="e">
        <f>SUM(B33:B39)</f>
        <v>#REF!</v>
      </c>
      <c r="C40" s="425" t="e">
        <f>SUM(C33:C39)</f>
        <v>#REF!</v>
      </c>
    </row>
    <row r="41" spans="1:17" ht="15">
      <c r="A41" s="407" t="s">
        <v>362</v>
      </c>
    </row>
    <row r="43" spans="1:17" ht="15">
      <c r="A43" s="741" t="s">
        <v>395</v>
      </c>
      <c r="B43" s="741"/>
      <c r="C43" s="742"/>
      <c r="D43" s="739" t="s">
        <v>416</v>
      </c>
      <c r="E43" s="739"/>
      <c r="F43" s="739"/>
      <c r="G43" s="739"/>
      <c r="H43" s="739"/>
      <c r="I43" s="739"/>
      <c r="J43" s="739"/>
      <c r="K43" s="739" t="s">
        <v>417</v>
      </c>
      <c r="L43" s="739"/>
      <c r="M43" s="739"/>
      <c r="N43" s="739"/>
      <c r="O43" s="739"/>
      <c r="P43" s="739"/>
      <c r="Q43" s="739"/>
    </row>
    <row r="44" spans="1:17">
      <c r="A44" s="743"/>
      <c r="B44" s="743"/>
      <c r="C44" s="744"/>
      <c r="D44" s="411" t="s">
        <v>332</v>
      </c>
      <c r="E44" s="411" t="s">
        <v>333</v>
      </c>
      <c r="F44" s="411" t="s">
        <v>334</v>
      </c>
      <c r="G44" s="411" t="s">
        <v>335</v>
      </c>
      <c r="H44" s="411" t="s">
        <v>336</v>
      </c>
      <c r="I44" s="411" t="s">
        <v>337</v>
      </c>
      <c r="J44" s="411" t="s">
        <v>338</v>
      </c>
      <c r="K44" s="411" t="s">
        <v>332</v>
      </c>
      <c r="L44" s="411" t="s">
        <v>333</v>
      </c>
      <c r="M44" s="411" t="s">
        <v>334</v>
      </c>
      <c r="N44" s="411" t="s">
        <v>335</v>
      </c>
      <c r="O44" s="411" t="s">
        <v>336</v>
      </c>
      <c r="P44" s="411" t="s">
        <v>337</v>
      </c>
      <c r="Q44" s="411" t="s">
        <v>338</v>
      </c>
    </row>
    <row r="45" spans="1:17" ht="15">
      <c r="A45" s="736" t="s">
        <v>361</v>
      </c>
      <c r="B45" s="737"/>
      <c r="C45" s="737"/>
      <c r="D45" s="737"/>
      <c r="E45" s="737"/>
      <c r="F45" s="737"/>
      <c r="G45" s="737"/>
      <c r="H45" s="737"/>
      <c r="I45" s="737"/>
      <c r="J45" s="737"/>
      <c r="K45" s="737"/>
      <c r="L45" s="737"/>
      <c r="M45" s="737"/>
      <c r="N45" s="737"/>
      <c r="O45" s="737"/>
      <c r="P45" s="737"/>
      <c r="Q45" s="738"/>
    </row>
    <row r="46" spans="1:17">
      <c r="A46" s="434" t="s">
        <v>378</v>
      </c>
      <c r="B46" s="3" t="e">
        <f>COUNTIFS(#REF!,A46)</f>
        <v>#REF!</v>
      </c>
      <c r="C46" s="435" t="e">
        <f>B46/$B$74</f>
        <v>#REF!</v>
      </c>
      <c r="D46" s="410" t="e">
        <f>C46*$B$33*'Wskaźniki emisji, założenia'!B10/1000000</f>
        <v>#REF!</v>
      </c>
      <c r="E46" s="410" t="e">
        <f>C46*$B$33*'Wskaźniki emisji, założenia'!C10/1000000</f>
        <v>#REF!</v>
      </c>
      <c r="F46" s="410" t="e">
        <f>C46*$B$33*'Wskaźniki emisji, założenia'!D10/1000000</f>
        <v>#REF!</v>
      </c>
      <c r="G46" s="410" t="e">
        <f>C46*$B$33*'Wskaźniki emisji, założenia'!E10/1000000</f>
        <v>#REF!</v>
      </c>
      <c r="H46" s="410" t="e">
        <f>C46*$B$33*'Wskaźniki emisji, założenia'!F10/1000000</f>
        <v>#REF!</v>
      </c>
      <c r="I46" s="410" t="e">
        <f>C46*$B$33*'Wskaźniki emisji, założenia'!G10/1000000</f>
        <v>#REF!</v>
      </c>
      <c r="J46" s="410" t="e">
        <f>C46*$B$33*'Wskaźniki emisji, założenia'!H10/1000000</f>
        <v>#REF!</v>
      </c>
      <c r="K46" s="410" t="e">
        <f>'Wskaźniki emisji, założenia'!B21/1000000*$C$46*$B$34</f>
        <v>#REF!</v>
      </c>
      <c r="L46" s="410" t="e">
        <f>'Wskaźniki emisji, założenia'!C21/1000000*$C$46*$B$34</f>
        <v>#REF!</v>
      </c>
      <c r="M46" s="410" t="e">
        <f>'Wskaźniki emisji, założenia'!D21/1000000*$C$46*$B$34</f>
        <v>#REF!</v>
      </c>
      <c r="N46" s="410" t="e">
        <f>'Wskaźniki emisji, założenia'!E21/1000000*$C$46*$B$34</f>
        <v>#REF!</v>
      </c>
      <c r="O46" s="410" t="e">
        <f>'Wskaźniki emisji, założenia'!F21/1000000*$C$46*$B$34</f>
        <v>#REF!</v>
      </c>
      <c r="P46" s="410" t="e">
        <f>'Wskaźniki emisji, założenia'!G21/1000000*$C$46*$B$34</f>
        <v>#REF!</v>
      </c>
      <c r="Q46" s="410" t="e">
        <f>'Wskaźniki emisji, założenia'!H21/1000000*$C$46*$B$34</f>
        <v>#REF!</v>
      </c>
    </row>
    <row r="47" spans="1:17">
      <c r="A47" s="434" t="s">
        <v>379</v>
      </c>
      <c r="B47" s="3" t="e">
        <f>COUNTIFS(#REF!,A47)</f>
        <v>#REF!</v>
      </c>
      <c r="C47" s="435" t="e">
        <f t="shared" ref="C47:C55" si="3">B47/$B$74</f>
        <v>#REF!</v>
      </c>
      <c r="D47" s="410" t="e">
        <f>C47*$B$33*'Wskaźniki emisji, założenia'!B11/1000000</f>
        <v>#REF!</v>
      </c>
      <c r="E47" s="410" t="e">
        <f>C47*$B$33*'Wskaźniki emisji, założenia'!C11/1000000</f>
        <v>#REF!</v>
      </c>
      <c r="F47" s="410" t="e">
        <f>C47*$B$33*'Wskaźniki emisji, założenia'!D11/1000000</f>
        <v>#REF!</v>
      </c>
      <c r="G47" s="410" t="e">
        <f>C47*$B$33*'Wskaźniki emisji, założenia'!E11/1000000</f>
        <v>#REF!</v>
      </c>
      <c r="H47" s="410" t="e">
        <f>C47*$B$33*'Wskaźniki emisji, założenia'!F11/1000000</f>
        <v>#REF!</v>
      </c>
      <c r="I47" s="410" t="e">
        <f>C47*$B$33*'Wskaźniki emisji, założenia'!G11/1000000</f>
        <v>#REF!</v>
      </c>
      <c r="J47" s="410" t="e">
        <f>C47*$B$33*'Wskaźniki emisji, założenia'!H11/1000000</f>
        <v>#REF!</v>
      </c>
      <c r="K47" s="410" t="e">
        <f>'Wskaźniki emisji, założenia'!B22/1000000*$C$47*$B$34</f>
        <v>#REF!</v>
      </c>
      <c r="L47" s="410" t="e">
        <f>'Wskaźniki emisji, założenia'!C22/1000000*$C$47*$B$34</f>
        <v>#REF!</v>
      </c>
      <c r="M47" s="410" t="e">
        <f>'Wskaźniki emisji, założenia'!D22/1000000*$C$47*$B$34</f>
        <v>#REF!</v>
      </c>
      <c r="N47" s="410" t="e">
        <f>'Wskaźniki emisji, założenia'!E22/1000000*$C$47*$B$34</f>
        <v>#REF!</v>
      </c>
      <c r="O47" s="410" t="e">
        <f>'Wskaźniki emisji, założenia'!F22/1000000*$C$47*$B$34</f>
        <v>#REF!</v>
      </c>
      <c r="P47" s="410" t="e">
        <f>'Wskaźniki emisji, założenia'!G22/1000000*$C$47*$B$34</f>
        <v>#REF!</v>
      </c>
      <c r="Q47" s="410" t="e">
        <f>'Wskaźniki emisji, założenia'!H22/1000000*$C$47*$B$34</f>
        <v>#REF!</v>
      </c>
    </row>
    <row r="48" spans="1:17">
      <c r="A48" s="434" t="s">
        <v>380</v>
      </c>
      <c r="B48" s="3" t="e">
        <f>COUNTIFS(#REF!,A48)</f>
        <v>#REF!</v>
      </c>
      <c r="C48" s="435" t="e">
        <f t="shared" si="3"/>
        <v>#REF!</v>
      </c>
      <c r="D48" s="410" t="e">
        <f>C48*$B$33*'Wskaźniki emisji, założenia'!B12/1000000</f>
        <v>#REF!</v>
      </c>
      <c r="E48" s="410" t="e">
        <f>C48*$B$33*'Wskaźniki emisji, założenia'!C12/1000000</f>
        <v>#REF!</v>
      </c>
      <c r="F48" s="410" t="e">
        <f>C48*$B$33*'Wskaźniki emisji, założenia'!D12/1000000</f>
        <v>#REF!</v>
      </c>
      <c r="G48" s="410" t="e">
        <f>C48*$B$33*'Wskaźniki emisji, założenia'!E12/1000000</f>
        <v>#REF!</v>
      </c>
      <c r="H48" s="410" t="e">
        <f>C48*$B$33*'Wskaźniki emisji, założenia'!F12/1000000</f>
        <v>#REF!</v>
      </c>
      <c r="I48" s="410" t="e">
        <f>C48*$B$33*'Wskaźniki emisji, założenia'!G12/1000000</f>
        <v>#REF!</v>
      </c>
      <c r="J48" s="410" t="e">
        <f>C48*$B$33*'Wskaźniki emisji, założenia'!H12/1000000</f>
        <v>#REF!</v>
      </c>
      <c r="K48" s="410" t="e">
        <f>'Wskaźniki emisji, założenia'!B23/1000000*$C$48*$B$34</f>
        <v>#REF!</v>
      </c>
      <c r="L48" s="410" t="e">
        <f>'Wskaźniki emisji, założenia'!C23/1000000*$C$48*$B$34</f>
        <v>#REF!</v>
      </c>
      <c r="M48" s="410" t="e">
        <f>'Wskaźniki emisji, założenia'!D23/1000000*$C$48*$B$34</f>
        <v>#REF!</v>
      </c>
      <c r="N48" s="410" t="e">
        <f>'Wskaźniki emisji, założenia'!E23/1000000*$C$48*$B$34</f>
        <v>#REF!</v>
      </c>
      <c r="O48" s="410" t="e">
        <f>'Wskaźniki emisji, założenia'!F23/1000000*$C$48*$B$34</f>
        <v>#REF!</v>
      </c>
      <c r="P48" s="410" t="e">
        <f>'Wskaźniki emisji, założenia'!G23/1000000*$C$48*$B$34</f>
        <v>#REF!</v>
      </c>
      <c r="Q48" s="410" t="e">
        <f>'Wskaźniki emisji, założenia'!H23/1000000*$C$48*$B$34</f>
        <v>#REF!</v>
      </c>
    </row>
    <row r="49" spans="1:17">
      <c r="A49" s="434" t="s">
        <v>381</v>
      </c>
      <c r="B49" s="3" t="e">
        <f>COUNTIFS(#REF!,A49)</f>
        <v>#REF!</v>
      </c>
      <c r="C49" s="435" t="e">
        <f t="shared" si="3"/>
        <v>#REF!</v>
      </c>
      <c r="D49" s="410" t="e">
        <f>C49*$B$33*'Wskaźniki emisji, założenia'!B13/1000000</f>
        <v>#REF!</v>
      </c>
      <c r="E49" s="410" t="e">
        <f>C49*$B$33*'Wskaźniki emisji, założenia'!C13/1000000</f>
        <v>#REF!</v>
      </c>
      <c r="F49" s="410" t="e">
        <f>C49*$B$33*'Wskaźniki emisji, założenia'!D13/1000000</f>
        <v>#REF!</v>
      </c>
      <c r="G49" s="410" t="e">
        <f>C49*$B$33*'Wskaźniki emisji, założenia'!E13/1000000</f>
        <v>#REF!</v>
      </c>
      <c r="H49" s="410" t="e">
        <f>C49*$B$33*'Wskaźniki emisji, założenia'!F13/1000000</f>
        <v>#REF!</v>
      </c>
      <c r="I49" s="410" t="e">
        <f>C49*$B$33*'Wskaźniki emisji, założenia'!G13/1000000</f>
        <v>#REF!</v>
      </c>
      <c r="J49" s="410" t="e">
        <f>C49*$B$33*'Wskaźniki emisji, założenia'!H13/1000000</f>
        <v>#REF!</v>
      </c>
      <c r="K49" s="410" t="e">
        <f>'Wskaźniki emisji, założenia'!B24/1000000*$C$49*$B$34</f>
        <v>#REF!</v>
      </c>
      <c r="L49" s="410" t="e">
        <f>'Wskaźniki emisji, założenia'!C24/1000000*$C$49*$B$34</f>
        <v>#REF!</v>
      </c>
      <c r="M49" s="410" t="e">
        <f>'Wskaźniki emisji, założenia'!D24/1000000*$C$49*$B$34</f>
        <v>#REF!</v>
      </c>
      <c r="N49" s="410" t="e">
        <f>'Wskaźniki emisji, założenia'!E24/1000000*$C$49*$B$34</f>
        <v>#REF!</v>
      </c>
      <c r="O49" s="410" t="e">
        <f>'Wskaźniki emisji, założenia'!F24/1000000*$C$49*$B$34</f>
        <v>#REF!</v>
      </c>
      <c r="P49" s="410" t="e">
        <f>'Wskaźniki emisji, założenia'!G24/1000000*$C$49*$B$34</f>
        <v>#REF!</v>
      </c>
      <c r="Q49" s="410" t="e">
        <f>'Wskaźniki emisji, założenia'!H24/1000000*$C$49*$B$34</f>
        <v>#REF!</v>
      </c>
    </row>
    <row r="50" spans="1:17">
      <c r="A50" s="434" t="s">
        <v>382</v>
      </c>
      <c r="B50" s="3" t="e">
        <f>COUNTIFS(#REF!,A50)</f>
        <v>#REF!</v>
      </c>
      <c r="C50" s="435" t="e">
        <f t="shared" si="3"/>
        <v>#REF!</v>
      </c>
      <c r="D50" s="410" t="e">
        <f>C50*$B$33*'Wskaźniki emisji, założenia'!B14/1000000</f>
        <v>#REF!</v>
      </c>
      <c r="E50" s="410" t="e">
        <f>C50*$B$33*'Wskaźniki emisji, założenia'!C14/1000000</f>
        <v>#REF!</v>
      </c>
      <c r="F50" s="410" t="e">
        <f>C50*$B$33*'Wskaźniki emisji, założenia'!D14/1000000</f>
        <v>#REF!</v>
      </c>
      <c r="G50" s="410" t="e">
        <f>C50*$B$33*'Wskaźniki emisji, założenia'!E14/1000000</f>
        <v>#REF!</v>
      </c>
      <c r="H50" s="410" t="e">
        <f>C50*$B$33*'Wskaźniki emisji, założenia'!F14/1000000</f>
        <v>#REF!</v>
      </c>
      <c r="I50" s="410" t="e">
        <f>C50*$B$33*'Wskaźniki emisji, założenia'!G14/1000000</f>
        <v>#REF!</v>
      </c>
      <c r="J50" s="410" t="e">
        <f>C50*$B$33*'Wskaźniki emisji, założenia'!H14/1000000</f>
        <v>#REF!</v>
      </c>
      <c r="K50" s="410" t="e">
        <f>'Wskaźniki emisji, założenia'!B25/1000000*$C$50*$B$34</f>
        <v>#REF!</v>
      </c>
      <c r="L50" s="410" t="e">
        <f>'Wskaźniki emisji, założenia'!C25/1000000*$C$50*$B$34</f>
        <v>#REF!</v>
      </c>
      <c r="M50" s="410" t="e">
        <f>'Wskaźniki emisji, założenia'!D25/1000000*$C$50*$B$34</f>
        <v>#REF!</v>
      </c>
      <c r="N50" s="410" t="e">
        <f>'Wskaźniki emisji, założenia'!E25/1000000*$C$50*$B$34</f>
        <v>#REF!</v>
      </c>
      <c r="O50" s="410" t="e">
        <f>'Wskaźniki emisji, założenia'!F25/1000000*$C$50*$B$34</f>
        <v>#REF!</v>
      </c>
      <c r="P50" s="410" t="e">
        <f>'Wskaźniki emisji, założenia'!G25/1000000*$C$50*$B$34</f>
        <v>#REF!</v>
      </c>
      <c r="Q50" s="410" t="e">
        <f>'Wskaźniki emisji, założenia'!H25/1000000*$C$50*$B$34</f>
        <v>#REF!</v>
      </c>
    </row>
    <row r="51" spans="1:17">
      <c r="A51" s="434" t="s">
        <v>383</v>
      </c>
      <c r="B51" s="3" t="e">
        <f>COUNTIFS(#REF!,A51)</f>
        <v>#REF!</v>
      </c>
      <c r="C51" s="435" t="e">
        <f t="shared" si="3"/>
        <v>#REF!</v>
      </c>
      <c r="D51" s="410" t="e">
        <f>C51*$B$33*'Wskaźniki emisji, założenia'!B15/1000000</f>
        <v>#REF!</v>
      </c>
      <c r="E51" s="410" t="e">
        <f>C51*$B$33*'Wskaźniki emisji, założenia'!C15/1000000</f>
        <v>#REF!</v>
      </c>
      <c r="F51" s="410" t="e">
        <f>C51*$B$33*'Wskaźniki emisji, założenia'!D15/1000000</f>
        <v>#REF!</v>
      </c>
      <c r="G51" s="410" t="e">
        <f>C51*$B$33*'Wskaźniki emisji, założenia'!E15/1000000</f>
        <v>#REF!</v>
      </c>
      <c r="H51" s="410" t="e">
        <f>C51*$B$33*'Wskaźniki emisji, założenia'!F15/1000000</f>
        <v>#REF!</v>
      </c>
      <c r="I51" s="410" t="e">
        <f>C51*$B$33*'Wskaźniki emisji, założenia'!G15/1000000</f>
        <v>#REF!</v>
      </c>
      <c r="J51" s="410" t="e">
        <f>C51*$B$33*'Wskaźniki emisji, założenia'!H15/1000000</f>
        <v>#REF!</v>
      </c>
      <c r="K51" s="410" t="e">
        <f>'Wskaźniki emisji, założenia'!B26/1000000*$C$51*$B$34</f>
        <v>#REF!</v>
      </c>
      <c r="L51" s="410" t="e">
        <f>'Wskaźniki emisji, założenia'!C26/1000000*$C$51*$B$34</f>
        <v>#REF!</v>
      </c>
      <c r="M51" s="410" t="e">
        <f>'Wskaźniki emisji, założenia'!D26/1000000*$C$51*$B$34</f>
        <v>#REF!</v>
      </c>
      <c r="N51" s="410" t="e">
        <f>'Wskaźniki emisji, założenia'!E26/1000000*$C$51*$B$34</f>
        <v>#REF!</v>
      </c>
      <c r="O51" s="410" t="e">
        <f>'Wskaźniki emisji, założenia'!F26/1000000*$C$51*$B$34</f>
        <v>#REF!</v>
      </c>
      <c r="P51" s="410" t="e">
        <f>'Wskaźniki emisji, założenia'!G26/1000000*$C$51*$B$34</f>
        <v>#REF!</v>
      </c>
      <c r="Q51" s="410" t="e">
        <f>'Wskaźniki emisji, założenia'!H26/1000000*$C$51*$B$34</f>
        <v>#REF!</v>
      </c>
    </row>
    <row r="52" spans="1:17">
      <c r="A52" s="434" t="s">
        <v>387</v>
      </c>
      <c r="B52" s="3" t="e">
        <f>COUNTIFS(#REF!,A52)</f>
        <v>#REF!</v>
      </c>
      <c r="C52" s="435" t="e">
        <f t="shared" si="3"/>
        <v>#REF!</v>
      </c>
      <c r="D52" s="410" t="e">
        <f>C52*$B$33*'Wskaźniki emisji, założenia'!B16/1000000</f>
        <v>#REF!</v>
      </c>
      <c r="E52" s="410" t="e">
        <f>C52*$B$33*'Wskaźniki emisji, założenia'!C16/1000000</f>
        <v>#REF!</v>
      </c>
      <c r="F52" s="410" t="e">
        <f>C52*$B$33*'Wskaźniki emisji, założenia'!D16/1000000</f>
        <v>#REF!</v>
      </c>
      <c r="G52" s="410" t="e">
        <f>C52*$B$33*'Wskaźniki emisji, założenia'!E16/1000000</f>
        <v>#REF!</v>
      </c>
      <c r="H52" s="410" t="e">
        <f>C52*$B$33*'Wskaźniki emisji, założenia'!F16/1000000</f>
        <v>#REF!</v>
      </c>
      <c r="I52" s="410" t="e">
        <f>C52*$B$33*'Wskaźniki emisji, założenia'!G16/1000000</f>
        <v>#REF!</v>
      </c>
      <c r="J52" s="410" t="e">
        <f>C52*$B$33*'Wskaźniki emisji, założenia'!H16/1000000</f>
        <v>#REF!</v>
      </c>
      <c r="K52" s="410" t="e">
        <f>'Wskaźniki emisji, założenia'!B27/1000000*$C$52*$B$34</f>
        <v>#REF!</v>
      </c>
      <c r="L52" s="410" t="e">
        <f>'Wskaźniki emisji, założenia'!C27/1000000*$C$52*$B$34</f>
        <v>#REF!</v>
      </c>
      <c r="M52" s="410" t="e">
        <f>'Wskaźniki emisji, założenia'!D27/1000000*$C$52*$B$34</f>
        <v>#REF!</v>
      </c>
      <c r="N52" s="410" t="e">
        <f>'Wskaźniki emisji, założenia'!E27/1000000*$C$52*$B$34</f>
        <v>#REF!</v>
      </c>
      <c r="O52" s="410" t="e">
        <f>'Wskaźniki emisji, założenia'!F27/1000000*$C$52*$B$34</f>
        <v>#REF!</v>
      </c>
      <c r="P52" s="410" t="e">
        <f>'Wskaźniki emisji, założenia'!G27/1000000*$C$52*$B$34</f>
        <v>#REF!</v>
      </c>
      <c r="Q52" s="410" t="e">
        <f>'Wskaźniki emisji, założenia'!H27/1000000*$C$52*$B$34</f>
        <v>#REF!</v>
      </c>
    </row>
    <row r="53" spans="1:17">
      <c r="A53" s="434" t="s">
        <v>384</v>
      </c>
      <c r="B53" s="3" t="e">
        <f>COUNTIFS(#REF!,A53)</f>
        <v>#REF!</v>
      </c>
      <c r="C53" s="435" t="e">
        <f t="shared" si="3"/>
        <v>#REF!</v>
      </c>
      <c r="D53" s="410" t="e">
        <f>C53*$B$33*'Wskaźniki emisji, założenia'!B17/1000000</f>
        <v>#REF!</v>
      </c>
      <c r="E53" s="410" t="e">
        <f>C53*$B$33*'Wskaźniki emisji, założenia'!C17/1000000</f>
        <v>#REF!</v>
      </c>
      <c r="F53" s="410" t="e">
        <f>C53*$B$33*'Wskaźniki emisji, założenia'!D17/1000000</f>
        <v>#REF!</v>
      </c>
      <c r="G53" s="410" t="e">
        <f>C53*$B$33*'Wskaźniki emisji, założenia'!E17/1000000</f>
        <v>#REF!</v>
      </c>
      <c r="H53" s="410" t="e">
        <f>C53*$B$33*'Wskaźniki emisji, założenia'!F17/1000000</f>
        <v>#REF!</v>
      </c>
      <c r="I53" s="410" t="e">
        <f>C53*$B$33*'Wskaźniki emisji, założenia'!G17/1000000</f>
        <v>#REF!</v>
      </c>
      <c r="J53" s="410" t="e">
        <f>C53*$B$33*'Wskaźniki emisji, założenia'!H17/1000000</f>
        <v>#REF!</v>
      </c>
      <c r="K53" s="410" t="e">
        <f>'Wskaźniki emisji, założenia'!B28/1000000*$C$53*$B$34</f>
        <v>#REF!</v>
      </c>
      <c r="L53" s="410" t="e">
        <f>'Wskaźniki emisji, założenia'!C28/1000000*$C$53*$B$34</f>
        <v>#REF!</v>
      </c>
      <c r="M53" s="410" t="e">
        <f>'Wskaźniki emisji, założenia'!D28/1000000*$C$53*$B$34</f>
        <v>#REF!</v>
      </c>
      <c r="N53" s="410" t="e">
        <f>'Wskaźniki emisji, założenia'!E28/1000000*$C$53*$B$34</f>
        <v>#REF!</v>
      </c>
      <c r="O53" s="410" t="e">
        <f>'Wskaźniki emisji, założenia'!F28/1000000*$C$53*$B$34</f>
        <v>#REF!</v>
      </c>
      <c r="P53" s="410" t="e">
        <f>'Wskaźniki emisji, założenia'!G28/1000000*$C$53*$B$34</f>
        <v>#REF!</v>
      </c>
      <c r="Q53" s="410" t="e">
        <f>'Wskaźniki emisji, założenia'!H28/1000000*$C$53*$B$34</f>
        <v>#REF!</v>
      </c>
    </row>
    <row r="54" spans="1:17">
      <c r="A54" s="434" t="s">
        <v>385</v>
      </c>
      <c r="B54" s="3" t="e">
        <f>COUNTIFS(#REF!,A54)</f>
        <v>#REF!</v>
      </c>
      <c r="C54" s="435" t="e">
        <f t="shared" si="3"/>
        <v>#REF!</v>
      </c>
      <c r="D54" s="410" t="e">
        <f>C54*$B$33*'Wskaźniki emisji, założenia'!B18/1000000</f>
        <v>#REF!</v>
      </c>
      <c r="E54" s="410" t="e">
        <f>C54*$B$33*'Wskaźniki emisji, założenia'!C18/1000000</f>
        <v>#REF!</v>
      </c>
      <c r="F54" s="410" t="e">
        <f>C54*$B$33*'Wskaźniki emisji, założenia'!D18/1000000</f>
        <v>#REF!</v>
      </c>
      <c r="G54" s="410" t="e">
        <f>C54*$B$33*'Wskaźniki emisji, założenia'!E18/1000000</f>
        <v>#REF!</v>
      </c>
      <c r="H54" s="410" t="e">
        <f>C54*$B$33*'Wskaźniki emisji, założenia'!F18/1000000</f>
        <v>#REF!</v>
      </c>
      <c r="I54" s="410" t="e">
        <f>C54*$B$33*'Wskaźniki emisji, założenia'!G18/1000000</f>
        <v>#REF!</v>
      </c>
      <c r="J54" s="410" t="e">
        <f>C54*$B$33*'Wskaźniki emisji, założenia'!H18/1000000</f>
        <v>#REF!</v>
      </c>
      <c r="K54" s="410" t="e">
        <f>'Wskaźniki emisji, założenia'!B29/1000000*$C$54*$B$34</f>
        <v>#REF!</v>
      </c>
      <c r="L54" s="410" t="e">
        <f>'Wskaźniki emisji, założenia'!C29/1000000*$C$54*$B$34</f>
        <v>#REF!</v>
      </c>
      <c r="M54" s="410" t="e">
        <f>'Wskaźniki emisji, założenia'!D29/1000000*$C$54*$B$34</f>
        <v>#REF!</v>
      </c>
      <c r="N54" s="410" t="e">
        <f>'Wskaźniki emisji, założenia'!E29/1000000*$C$54*$B$34</f>
        <v>#REF!</v>
      </c>
      <c r="O54" s="410" t="e">
        <f>'Wskaźniki emisji, założenia'!F29/1000000*$C$54*$B$34</f>
        <v>#REF!</v>
      </c>
      <c r="P54" s="410" t="e">
        <f>'Wskaźniki emisji, założenia'!G29/1000000*$C$54*$B$34</f>
        <v>#REF!</v>
      </c>
      <c r="Q54" s="410" t="e">
        <f>'Wskaźniki emisji, założenia'!H29/1000000*$C$54*$B$34</f>
        <v>#REF!</v>
      </c>
    </row>
    <row r="55" spans="1:17">
      <c r="A55" s="434" t="s">
        <v>386</v>
      </c>
      <c r="B55" s="3" t="e">
        <f>COUNTIFS(#REF!,A55)</f>
        <v>#REF!</v>
      </c>
      <c r="C55" s="435" t="e">
        <f t="shared" si="3"/>
        <v>#REF!</v>
      </c>
      <c r="D55" s="410" t="e">
        <f>C55*$B$33*'Wskaźniki emisji, założenia'!B19/1000000</f>
        <v>#REF!</v>
      </c>
      <c r="E55" s="410" t="e">
        <f>C55*$B$33*'Wskaźniki emisji, założenia'!C19/1000000</f>
        <v>#REF!</v>
      </c>
      <c r="F55" s="410" t="e">
        <f>C55*$B$33*'Wskaźniki emisji, założenia'!D19/1000000</f>
        <v>#REF!</v>
      </c>
      <c r="G55" s="410" t="e">
        <f>C55*$B$33*'Wskaźniki emisji, założenia'!E19/1000000</f>
        <v>#REF!</v>
      </c>
      <c r="H55" s="410" t="e">
        <f>C55*$B$33*'Wskaźniki emisji, założenia'!F19/1000000</f>
        <v>#REF!</v>
      </c>
      <c r="I55" s="410" t="e">
        <f>C55*$B$33*'Wskaźniki emisji, założenia'!G19/1000000</f>
        <v>#REF!</v>
      </c>
      <c r="J55" s="410" t="e">
        <f>C55*$B$33*'Wskaźniki emisji, założenia'!H19/1000000</f>
        <v>#REF!</v>
      </c>
      <c r="K55" s="410" t="e">
        <f>'Wskaźniki emisji, założenia'!B30/1000000*$C$55*$B$34</f>
        <v>#REF!</v>
      </c>
      <c r="L55" s="410" t="e">
        <f>'Wskaźniki emisji, założenia'!C30/1000000*$C$55*$B$34</f>
        <v>#REF!</v>
      </c>
      <c r="M55" s="410" t="e">
        <f>'Wskaźniki emisji, założenia'!D30/1000000*$C$55*$B$34</f>
        <v>#REF!</v>
      </c>
      <c r="N55" s="410" t="e">
        <f>'Wskaźniki emisji, założenia'!E30/1000000*$C$55*$B$34</f>
        <v>#REF!</v>
      </c>
      <c r="O55" s="410" t="e">
        <f>'Wskaźniki emisji, założenia'!F30/1000000*$C$55*$B$34</f>
        <v>#REF!</v>
      </c>
      <c r="P55" s="410" t="e">
        <f>'Wskaźniki emisji, założenia'!G30/1000000*$C$55*$B$34</f>
        <v>#REF!</v>
      </c>
      <c r="Q55" s="410" t="e">
        <f>'Wskaźniki emisji, założenia'!H30/1000000*$C$55*$B$34</f>
        <v>#REF!</v>
      </c>
    </row>
    <row r="56" spans="1:17" ht="15">
      <c r="A56" s="736" t="s">
        <v>360</v>
      </c>
      <c r="B56" s="737"/>
      <c r="C56" s="737"/>
      <c r="D56" s="737"/>
      <c r="E56" s="737"/>
      <c r="F56" s="737"/>
      <c r="G56" s="737"/>
      <c r="H56" s="737"/>
      <c r="I56" s="737"/>
      <c r="J56" s="737"/>
      <c r="K56" s="737"/>
      <c r="L56" s="737"/>
      <c r="M56" s="737"/>
      <c r="N56" s="737"/>
      <c r="O56" s="737"/>
      <c r="P56" s="737"/>
      <c r="Q56" s="738"/>
    </row>
    <row r="57" spans="1:17">
      <c r="A57" s="408" t="s">
        <v>371</v>
      </c>
      <c r="B57" s="3" t="e">
        <f>COUNTIFS(#REF!,A57)</f>
        <v>#REF!</v>
      </c>
      <c r="C57" s="435" t="e">
        <f>B57/$B$74</f>
        <v>#REF!</v>
      </c>
      <c r="D57" s="410" t="e">
        <f>'Wskaźniki emisji, założenia'!B32*$C$57*$B$33/1000000</f>
        <v>#REF!</v>
      </c>
      <c r="E57" s="410" t="e">
        <f>'Wskaźniki emisji, założenia'!C32*$C$57*$B$33/1000000</f>
        <v>#REF!</v>
      </c>
      <c r="F57" s="410" t="e">
        <f>'Wskaźniki emisji, założenia'!D32*$C$57*$B$33/1000000</f>
        <v>#REF!</v>
      </c>
      <c r="G57" s="410" t="e">
        <f>'Wskaźniki emisji, założenia'!E32*$C$57*$B$33/1000000</f>
        <v>#REF!</v>
      </c>
      <c r="H57" s="410" t="e">
        <f>'Wskaźniki emisji, założenia'!F32*$C$57*$B$33/1000000</f>
        <v>#REF!</v>
      </c>
      <c r="I57" s="410" t="e">
        <f>'Wskaźniki emisji, założenia'!G32*$C$57*$B$33/1000000</f>
        <v>#REF!</v>
      </c>
      <c r="J57" s="410" t="e">
        <f>'Wskaźniki emisji, założenia'!H32*$C$57*$B$33/1000000</f>
        <v>#REF!</v>
      </c>
      <c r="K57" s="410">
        <v>0</v>
      </c>
      <c r="L57" s="410">
        <v>0</v>
      </c>
      <c r="M57" s="410">
        <v>0</v>
      </c>
      <c r="N57" s="410">
        <v>0</v>
      </c>
      <c r="O57" s="410">
        <v>0</v>
      </c>
      <c r="P57" s="410">
        <v>0</v>
      </c>
      <c r="Q57" s="410">
        <v>0</v>
      </c>
    </row>
    <row r="58" spans="1:17">
      <c r="A58" s="408" t="s">
        <v>372</v>
      </c>
      <c r="B58" s="3" t="e">
        <f>COUNTIFS(#REF!,A58)</f>
        <v>#REF!</v>
      </c>
      <c r="C58" s="435" t="e">
        <f>B58/$B$74</f>
        <v>#REF!</v>
      </c>
      <c r="D58" s="410" t="e">
        <f>'Wskaźniki emisji, założenia'!B33*$C$58*$B$33/1000000</f>
        <v>#REF!</v>
      </c>
      <c r="E58" s="410" t="e">
        <f>'Wskaźniki emisji, założenia'!C33*$C$58*$B$33/1000000</f>
        <v>#REF!</v>
      </c>
      <c r="F58" s="410" t="e">
        <f>'Wskaźniki emisji, założenia'!D33*$C$58*$B$33/1000000</f>
        <v>#REF!</v>
      </c>
      <c r="G58" s="410" t="e">
        <f>'Wskaźniki emisji, założenia'!E33*$C$58*$B$33/1000000</f>
        <v>#REF!</v>
      </c>
      <c r="H58" s="410" t="e">
        <f>'Wskaźniki emisji, założenia'!F33*$C$58*$B$33/1000000</f>
        <v>#REF!</v>
      </c>
      <c r="I58" s="410" t="e">
        <f>'Wskaźniki emisji, założenia'!G33*$C$58*$B$33/1000000</f>
        <v>#REF!</v>
      </c>
      <c r="J58" s="410" t="e">
        <f>'Wskaźniki emisji, założenia'!H33*$C$58*$B$33/1000000</f>
        <v>#REF!</v>
      </c>
      <c r="K58" s="410">
        <v>0</v>
      </c>
      <c r="L58" s="410">
        <v>0</v>
      </c>
      <c r="M58" s="410">
        <v>0</v>
      </c>
      <c r="N58" s="410">
        <v>0</v>
      </c>
      <c r="O58" s="410">
        <v>0</v>
      </c>
      <c r="P58" s="410">
        <v>0</v>
      </c>
      <c r="Q58" s="410">
        <v>0</v>
      </c>
    </row>
    <row r="59" spans="1:17" ht="15">
      <c r="A59" s="736" t="s">
        <v>392</v>
      </c>
      <c r="B59" s="737"/>
      <c r="C59" s="737"/>
      <c r="D59" s="737"/>
      <c r="E59" s="737"/>
      <c r="F59" s="737"/>
      <c r="G59" s="737"/>
      <c r="H59" s="737"/>
      <c r="I59" s="737"/>
      <c r="J59" s="737"/>
      <c r="K59" s="737"/>
      <c r="L59" s="737"/>
      <c r="M59" s="737"/>
      <c r="N59" s="737"/>
      <c r="O59" s="737"/>
      <c r="P59" s="737"/>
      <c r="Q59" s="738"/>
    </row>
    <row r="60" spans="1:17">
      <c r="A60" s="408" t="s">
        <v>373</v>
      </c>
      <c r="B60" s="3" t="e">
        <f>COUNTIFS(#REF!,A60)</f>
        <v>#REF!</v>
      </c>
      <c r="C60" s="435" t="e">
        <f>B60/$B$74</f>
        <v>#REF!</v>
      </c>
      <c r="D60" s="410" t="e">
        <f>'Wskaźniki emisji, założenia'!B37/1000000*$C$60*$B$33</f>
        <v>#REF!</v>
      </c>
      <c r="E60" s="410" t="e">
        <f>'Wskaźniki emisji, założenia'!C37/1000000*$C$60*$B$33</f>
        <v>#REF!</v>
      </c>
      <c r="F60" s="410" t="e">
        <f>'Wskaźniki emisji, założenia'!D37/1000000*$C$60*$B$33</f>
        <v>#REF!</v>
      </c>
      <c r="G60" s="410" t="e">
        <f>'Wskaźniki emisji, założenia'!E37/1000000*$C$60*$B$33</f>
        <v>#REF!</v>
      </c>
      <c r="H60" s="410" t="e">
        <f>'Wskaźniki emisji, założenia'!F37/1000000*$C$60*$B$33</f>
        <v>#REF!</v>
      </c>
      <c r="I60" s="410" t="e">
        <f>'Wskaźniki emisji, założenia'!G37/1000000*$C$60*$B$33</f>
        <v>#REF!</v>
      </c>
      <c r="J60" s="410" t="e">
        <f>'Wskaźniki emisji, założenia'!H37/1000000*$C$60*$B$33</f>
        <v>#REF!</v>
      </c>
      <c r="K60" s="410" t="e">
        <f>'Wskaźniki emisji, założenia'!B42/1000000*$B$34*$C$60</f>
        <v>#REF!</v>
      </c>
      <c r="L60" s="410" t="e">
        <f>'Wskaźniki emisji, założenia'!C42/1000000*$B$34*$C$60</f>
        <v>#REF!</v>
      </c>
      <c r="M60" s="410" t="e">
        <f>'Wskaźniki emisji, założenia'!D42/1000000*$B$34*$C$60</f>
        <v>#REF!</v>
      </c>
      <c r="N60" s="410" t="e">
        <f>'Wskaźniki emisji, założenia'!E42/1000000*$B$34*$C$60</f>
        <v>#REF!</v>
      </c>
      <c r="O60" s="410" t="e">
        <f>'Wskaźniki emisji, założenia'!F42/1000000*$B$34*$C$60</f>
        <v>#REF!</v>
      </c>
      <c r="P60" s="410" t="e">
        <f>'Wskaźniki emisji, założenia'!G42/1000000*$B$34*$C$60</f>
        <v>#REF!</v>
      </c>
      <c r="Q60" s="410" t="e">
        <f>'Wskaźniki emisji, założenia'!H42/1000000*$B$34*$C$60</f>
        <v>#REF!</v>
      </c>
    </row>
    <row r="61" spans="1:17">
      <c r="A61" s="408" t="s">
        <v>374</v>
      </c>
      <c r="B61" s="3" t="e">
        <f>COUNTIFS(#REF!,A61)</f>
        <v>#REF!</v>
      </c>
      <c r="C61" s="435" t="e">
        <f>B61/$B$74</f>
        <v>#REF!</v>
      </c>
      <c r="D61" s="410" t="e">
        <f>'Wskaźniki emisji, założenia'!B38/1000000*$C$61*$B$33</f>
        <v>#REF!</v>
      </c>
      <c r="E61" s="410" t="e">
        <f>'Wskaźniki emisji, założenia'!C38/1000000*$C$61*$B$33</f>
        <v>#REF!</v>
      </c>
      <c r="F61" s="410" t="e">
        <f>'Wskaźniki emisji, założenia'!D38/1000000*$C$61*$B$33</f>
        <v>#REF!</v>
      </c>
      <c r="G61" s="410" t="e">
        <f>'Wskaźniki emisji, założenia'!E38/1000000*$C$61*$B$33</f>
        <v>#REF!</v>
      </c>
      <c r="H61" s="410" t="e">
        <f>'Wskaźniki emisji, założenia'!F38/1000000*$C$61*$B$33</f>
        <v>#REF!</v>
      </c>
      <c r="I61" s="410" t="e">
        <f>'Wskaźniki emisji, założenia'!G38/1000000*$C$61*$B$33</f>
        <v>#REF!</v>
      </c>
      <c r="J61" s="410" t="e">
        <f>'Wskaźniki emisji, założenia'!H38/1000000*$C$61*$B$33</f>
        <v>#REF!</v>
      </c>
      <c r="K61" s="410" t="e">
        <f>'Wskaźniki emisji, założenia'!B43/1000000*$B$34*$C$61</f>
        <v>#REF!</v>
      </c>
      <c r="L61" s="410" t="e">
        <f>'Wskaźniki emisji, założenia'!C43/1000000*$B$34*$C$61</f>
        <v>#REF!</v>
      </c>
      <c r="M61" s="410" t="e">
        <f>'Wskaźniki emisji, założenia'!D43/1000000*$B$34*$C$61</f>
        <v>#REF!</v>
      </c>
      <c r="N61" s="410" t="e">
        <f>'Wskaźniki emisji, założenia'!E43/1000000*$B$34*$C$61</f>
        <v>#REF!</v>
      </c>
      <c r="O61" s="410" t="e">
        <f>'Wskaźniki emisji, założenia'!F43/1000000*$B$34*$C$61</f>
        <v>#REF!</v>
      </c>
      <c r="P61" s="410" t="e">
        <f>'Wskaźniki emisji, założenia'!G43/1000000*$B$34*$C$61</f>
        <v>#REF!</v>
      </c>
      <c r="Q61" s="410" t="e">
        <f>'Wskaźniki emisji, założenia'!H43/1000000*$B$34*$C$61</f>
        <v>#REF!</v>
      </c>
    </row>
    <row r="62" spans="1:17" ht="15">
      <c r="A62" s="736" t="s">
        <v>316</v>
      </c>
      <c r="B62" s="737"/>
      <c r="C62" s="737"/>
      <c r="D62" s="737"/>
      <c r="E62" s="737"/>
      <c r="F62" s="737"/>
      <c r="G62" s="737"/>
      <c r="H62" s="737"/>
      <c r="I62" s="737"/>
      <c r="J62" s="737"/>
      <c r="K62" s="737"/>
      <c r="L62" s="737"/>
      <c r="M62" s="737"/>
      <c r="N62" s="737"/>
      <c r="O62" s="737"/>
      <c r="P62" s="737"/>
      <c r="Q62" s="738"/>
    </row>
    <row r="63" spans="1:17">
      <c r="A63" s="434" t="s">
        <v>375</v>
      </c>
      <c r="B63" s="3" t="e">
        <f>COUNTIFS(#REF!,A63)</f>
        <v>#REF!</v>
      </c>
      <c r="C63" s="435" t="e">
        <f>B63/$B$74</f>
        <v>#REF!</v>
      </c>
      <c r="D63" s="410">
        <v>0</v>
      </c>
      <c r="E63" s="410">
        <v>0</v>
      </c>
      <c r="F63" s="410">
        <v>0</v>
      </c>
      <c r="G63" s="410">
        <v>0</v>
      </c>
      <c r="H63" s="410">
        <v>0</v>
      </c>
      <c r="I63" s="410">
        <v>0</v>
      </c>
      <c r="J63" s="410">
        <v>0</v>
      </c>
      <c r="K63" s="410" t="e">
        <f>'Wskaźniki emisji, założenia'!B47*$C$63*$B$34/1000000</f>
        <v>#REF!</v>
      </c>
      <c r="L63" s="410" t="e">
        <f>'Wskaźniki emisji, założenia'!C47*$C$63*$B$34/1000000</f>
        <v>#REF!</v>
      </c>
      <c r="M63" s="410" t="e">
        <f>'Wskaźniki emisji, założenia'!D47*$C$63*$B$34/1000000</f>
        <v>#REF!</v>
      </c>
      <c r="N63" s="410" t="e">
        <f>'Wskaźniki emisji, założenia'!E47*$C$63*$B$34/1000000</f>
        <v>#REF!</v>
      </c>
      <c r="O63" s="410" t="e">
        <f>'Wskaźniki emisji, założenia'!F47*$C$63*$B$34/1000000</f>
        <v>#REF!</v>
      </c>
      <c r="P63" s="410" t="e">
        <f>'Wskaźniki emisji, założenia'!G47*$C$63*$B$34/1000000</f>
        <v>#REF!</v>
      </c>
      <c r="Q63" s="410" t="e">
        <f>'Wskaźniki emisji, założenia'!H47*$C$63*$B$34/1000000</f>
        <v>#REF!</v>
      </c>
    </row>
    <row r="64" spans="1:17">
      <c r="A64" s="434" t="s">
        <v>390</v>
      </c>
      <c r="B64" s="3" t="e">
        <f>COUNTIFS(#REF!,A64)</f>
        <v>#REF!</v>
      </c>
      <c r="C64" s="435" t="e">
        <f>B64/$B$74</f>
        <v>#REF!</v>
      </c>
      <c r="D64" s="410">
        <v>0</v>
      </c>
      <c r="E64" s="410">
        <v>0</v>
      </c>
      <c r="F64" s="410">
        <v>0</v>
      </c>
      <c r="G64" s="410">
        <v>0</v>
      </c>
      <c r="H64" s="410">
        <v>0</v>
      </c>
      <c r="I64" s="410">
        <v>0</v>
      </c>
      <c r="J64" s="410">
        <v>0</v>
      </c>
      <c r="K64" s="410" t="e">
        <f>'Wskaźniki emisji, założenia'!B48*$C$64*$B$34/1000000</f>
        <v>#REF!</v>
      </c>
      <c r="L64" s="410" t="e">
        <f>'Wskaźniki emisji, założenia'!C48*$C$64*$B$34/1000000</f>
        <v>#REF!</v>
      </c>
      <c r="M64" s="410" t="e">
        <f>'Wskaźniki emisji, założenia'!D48*$C$64*$B$34/1000000</f>
        <v>#REF!</v>
      </c>
      <c r="N64" s="410" t="e">
        <f>'Wskaźniki emisji, założenia'!E48*$C$64*$B$34/1000000</f>
        <v>#REF!</v>
      </c>
      <c r="O64" s="410" t="e">
        <f>'Wskaźniki emisji, założenia'!F48*$C$64*$B$34/1000000</f>
        <v>#REF!</v>
      </c>
      <c r="P64" s="410" t="e">
        <f>'Wskaźniki emisji, założenia'!G48*$C$64*$B$34/1000000</f>
        <v>#REF!</v>
      </c>
      <c r="Q64" s="410" t="e">
        <f>'Wskaźniki emisji, założenia'!H48*$C$64*$B$34/1000000</f>
        <v>#REF!</v>
      </c>
    </row>
    <row r="65" spans="1:18" ht="15">
      <c r="A65" s="736" t="s">
        <v>363</v>
      </c>
      <c r="B65" s="737"/>
      <c r="C65" s="737"/>
      <c r="D65" s="737"/>
      <c r="E65" s="737"/>
      <c r="F65" s="737"/>
      <c r="G65" s="737"/>
      <c r="H65" s="737"/>
      <c r="I65" s="737"/>
      <c r="J65" s="737"/>
      <c r="K65" s="737"/>
      <c r="L65" s="737"/>
      <c r="M65" s="737"/>
      <c r="N65" s="737"/>
      <c r="O65" s="737"/>
      <c r="P65" s="737"/>
      <c r="Q65" s="738"/>
    </row>
    <row r="66" spans="1:18">
      <c r="A66" s="436" t="s">
        <v>376</v>
      </c>
      <c r="B66" s="3" t="e">
        <f>COUNTIFS(#REF!,A66)</f>
        <v>#REF!</v>
      </c>
      <c r="C66" s="435" t="e">
        <f>B66/$B$74</f>
        <v>#REF!</v>
      </c>
      <c r="D66" s="410" t="e">
        <f>$C$66*$B$33*'Wskaźniki emisji, założenia'!B52/1000000</f>
        <v>#REF!</v>
      </c>
      <c r="E66" s="410" t="e">
        <f>$C$66*$B$33*'Wskaźniki emisji, założenia'!C52/1000000</f>
        <v>#REF!</v>
      </c>
      <c r="F66" s="410" t="e">
        <f>$C$66*$B$33*'Wskaźniki emisji, założenia'!D52/1000000</f>
        <v>#REF!</v>
      </c>
      <c r="G66" s="410" t="e">
        <f>$C$66*$B$33*'Wskaźniki emisji, założenia'!E52/1000000</f>
        <v>#REF!</v>
      </c>
      <c r="H66" s="410" t="e">
        <f>$C$66*$B$33*'Wskaźniki emisji, założenia'!F52/1000000</f>
        <v>#REF!</v>
      </c>
      <c r="I66" s="410" t="e">
        <f>$C$66*$B$33*'Wskaźniki emisji, założenia'!G52/1000000</f>
        <v>#REF!</v>
      </c>
      <c r="J66" s="410" t="e">
        <f>$C$66*$B$33*'Wskaźniki emisji, założenia'!H52/1000000</f>
        <v>#REF!</v>
      </c>
      <c r="K66" s="410" t="e">
        <f>'Wskaźniki emisji, założenia'!B57/1000000*$C$66*$B$33</f>
        <v>#REF!</v>
      </c>
      <c r="L66" s="410" t="e">
        <f>'Wskaźniki emisji, założenia'!C57/1000000*$C$66*$B$33</f>
        <v>#REF!</v>
      </c>
      <c r="M66" s="410" t="e">
        <f>'Wskaźniki emisji, założenia'!D57/1000000*$C$66*$B$33</f>
        <v>#REF!</v>
      </c>
      <c r="N66" s="410" t="e">
        <f>'Wskaźniki emisji, założenia'!E57/1000000*$C$66*$B$33</f>
        <v>#REF!</v>
      </c>
      <c r="O66" s="410" t="e">
        <f>'Wskaźniki emisji, założenia'!F57/1000000*$C$66*$B$33</f>
        <v>#REF!</v>
      </c>
      <c r="P66" s="410" t="e">
        <f>'Wskaźniki emisji, założenia'!G57/1000000*$C$66*$B$33</f>
        <v>#REF!</v>
      </c>
      <c r="Q66" s="410" t="e">
        <f>'Wskaźniki emisji, założenia'!H57/1000000*$C$66*$B$33</f>
        <v>#REF!</v>
      </c>
    </row>
    <row r="67" spans="1:18">
      <c r="A67" s="408" t="s">
        <v>377</v>
      </c>
      <c r="B67" s="3" t="e">
        <f>COUNTIFS(#REF!,A67)</f>
        <v>#REF!</v>
      </c>
      <c r="C67" s="435" t="e">
        <f>B67/$B$74</f>
        <v>#REF!</v>
      </c>
      <c r="D67" s="410" t="e">
        <f>$C$67*$B$33*'Wskaźniki emisji, założenia'!B53/1000000</f>
        <v>#REF!</v>
      </c>
      <c r="E67" s="410" t="e">
        <f>$C$67*$B$33*'Wskaźniki emisji, założenia'!C53/1000000</f>
        <v>#REF!</v>
      </c>
      <c r="F67" s="410" t="e">
        <f>$C$67*$B$33*'Wskaźniki emisji, założenia'!D53/1000000</f>
        <v>#REF!</v>
      </c>
      <c r="G67" s="410" t="e">
        <f>$C$67*$B$33*'Wskaźniki emisji, założenia'!E53/1000000</f>
        <v>#REF!</v>
      </c>
      <c r="H67" s="410" t="e">
        <f>$C$67*$B$33*'Wskaźniki emisji, założenia'!F53/1000000</f>
        <v>#REF!</v>
      </c>
      <c r="I67" s="410" t="e">
        <f>$C$67*$B$33*'Wskaźniki emisji, założenia'!G53/1000000</f>
        <v>#REF!</v>
      </c>
      <c r="J67" s="410" t="e">
        <f>$C$67*$B$33*'Wskaźniki emisji, założenia'!H53/1000000</f>
        <v>#REF!</v>
      </c>
      <c r="K67" s="410" t="e">
        <f>'Wskaźniki emisji, założenia'!B58/1000000*$C$67*$B$34</f>
        <v>#REF!</v>
      </c>
      <c r="L67" s="410" t="e">
        <f>'Wskaźniki emisji, założenia'!C58/1000000*$C$67*$B$34</f>
        <v>#REF!</v>
      </c>
      <c r="M67" s="410" t="e">
        <f>'Wskaźniki emisji, założenia'!D58/1000000*$C$67*$B$34</f>
        <v>#REF!</v>
      </c>
      <c r="N67" s="410" t="e">
        <f>'Wskaźniki emisji, założenia'!E58/1000000*$C$67*$B$34</f>
        <v>#REF!</v>
      </c>
      <c r="O67" s="410" t="e">
        <f>'Wskaźniki emisji, założenia'!F58/1000000*$C$67*$B$34</f>
        <v>#REF!</v>
      </c>
      <c r="P67" s="410" t="e">
        <f>'Wskaźniki emisji, założenia'!G58/1000000*$C$67*$B$34</f>
        <v>#REF!</v>
      </c>
      <c r="Q67" s="410" t="e">
        <f>'Wskaźniki emisji, założenia'!H58/1000000*$C$67*$B$34</f>
        <v>#REF!</v>
      </c>
    </row>
    <row r="68" spans="1:18">
      <c r="A68" s="434"/>
      <c r="B68" s="434"/>
      <c r="C68" s="434"/>
      <c r="D68" s="434"/>
      <c r="E68" s="434"/>
      <c r="F68" s="434"/>
      <c r="G68" s="434"/>
      <c r="H68" s="434"/>
      <c r="I68" s="434"/>
      <c r="J68" s="434"/>
      <c r="K68" s="434"/>
      <c r="L68" s="434"/>
      <c r="M68" s="434"/>
      <c r="N68" s="434"/>
      <c r="O68" s="434"/>
      <c r="P68" s="434"/>
      <c r="Q68" s="434"/>
    </row>
    <row r="69" spans="1:18" ht="15" customHeight="1">
      <c r="A69" s="736" t="s">
        <v>395</v>
      </c>
      <c r="B69" s="737"/>
      <c r="C69" s="738"/>
      <c r="D69" s="739" t="s">
        <v>418</v>
      </c>
      <c r="E69" s="739"/>
      <c r="F69" s="739"/>
      <c r="G69" s="739"/>
      <c r="H69" s="739"/>
      <c r="I69" s="739"/>
      <c r="J69" s="739"/>
      <c r="K69" s="409"/>
      <c r="L69" s="409"/>
      <c r="M69" s="409"/>
      <c r="N69" s="409"/>
      <c r="O69" s="409"/>
      <c r="P69" s="409"/>
      <c r="Q69" s="409"/>
    </row>
    <row r="70" spans="1:18" ht="14.25" customHeight="1">
      <c r="A70" s="736" t="s">
        <v>313</v>
      </c>
      <c r="B70" s="737"/>
      <c r="C70" s="738"/>
      <c r="D70" s="411" t="s">
        <v>332</v>
      </c>
      <c r="E70" s="411" t="s">
        <v>333</v>
      </c>
      <c r="F70" s="411" t="s">
        <v>334</v>
      </c>
      <c r="G70" s="411" t="s">
        <v>335</v>
      </c>
      <c r="H70" s="411" t="s">
        <v>336</v>
      </c>
      <c r="I70" s="411" t="s">
        <v>337</v>
      </c>
      <c r="J70" s="411" t="s">
        <v>338</v>
      </c>
      <c r="K70" s="409"/>
      <c r="L70" s="409"/>
      <c r="M70" s="409"/>
      <c r="N70" s="409"/>
      <c r="O70" s="409"/>
      <c r="P70" s="409"/>
      <c r="Q70" s="409"/>
    </row>
    <row r="71" spans="1:18">
      <c r="A71" s="436" t="s">
        <v>26</v>
      </c>
      <c r="B71" s="3" t="e">
        <f>COUNTIFS(#REF!,A71)</f>
        <v>#REF!</v>
      </c>
      <c r="C71" s="435" t="e">
        <f>B71/$B$74</f>
        <v>#REF!</v>
      </c>
      <c r="D71" s="410">
        <f>$B$35*'Wskaźniki emisji, założenia'!B4/1000000</f>
        <v>2.6653967999999997E-2</v>
      </c>
      <c r="E71" s="410">
        <f>$B$35*'Wskaźniki emisji, założenia'!C4/1000000</f>
        <v>2.6653967999999997E-2</v>
      </c>
      <c r="F71" s="410">
        <f>$B$35*'Wskaźniki emisji, założenia'!D4/1000000</f>
        <v>1155.0052800000001</v>
      </c>
      <c r="G71" s="410">
        <f>$B$35*'Wskaźniki emisji, założenia'!E4/1000000</f>
        <v>1.2438518400000002E-8</v>
      </c>
      <c r="H71" s="410">
        <f>$B$35*'Wskaźniki emisji, założenia'!F4/1000000</f>
        <v>6.6634919999999992E-3</v>
      </c>
      <c r="I71" s="410">
        <f>$B$35*'Wskaźniki emisji, założenia'!G4/1000000</f>
        <v>1.1327936399999998</v>
      </c>
      <c r="J71" s="410">
        <f>$B$35*'Wskaźniki emisji, założenia'!H4/1000000</f>
        <v>0.57750264000000007</v>
      </c>
      <c r="K71" s="409"/>
      <c r="L71" s="409"/>
      <c r="M71" s="409"/>
      <c r="N71" s="409"/>
      <c r="O71" s="409"/>
      <c r="P71" s="409"/>
      <c r="Q71" s="409"/>
      <c r="R71" s="434"/>
    </row>
    <row r="72" spans="1:18" ht="15">
      <c r="A72" s="736" t="s">
        <v>312</v>
      </c>
      <c r="B72" s="737"/>
      <c r="C72" s="737"/>
      <c r="D72" s="739" t="s">
        <v>419</v>
      </c>
      <c r="E72" s="739"/>
      <c r="F72" s="739"/>
      <c r="G72" s="739"/>
      <c r="H72" s="739"/>
      <c r="I72" s="739"/>
      <c r="J72" s="739"/>
      <c r="K72" s="409"/>
      <c r="L72" s="409"/>
      <c r="M72" s="409"/>
      <c r="N72" s="409"/>
      <c r="O72" s="409"/>
      <c r="P72" s="409"/>
      <c r="Q72" s="409"/>
      <c r="R72" s="434"/>
    </row>
    <row r="73" spans="1:18">
      <c r="A73" s="436" t="s">
        <v>7</v>
      </c>
      <c r="B73" s="3" t="e">
        <f>COUNTIFS(#REF!,A73)</f>
        <v>#REF!</v>
      </c>
      <c r="C73" s="435" t="e">
        <f>B73/$B$74</f>
        <v>#REF!</v>
      </c>
      <c r="D73" s="410" t="e">
        <f>$B$36*'Wskaźniki emisji, założenia'!B5/1000000</f>
        <v>#REF!</v>
      </c>
      <c r="E73" s="410" t="e">
        <f>$B$36*'Wskaźniki emisji, założenia'!C5/1000000</f>
        <v>#REF!</v>
      </c>
      <c r="F73" s="410" t="e">
        <f>$B$36*'Wskaźniki emisji, założenia'!D5/1000000</f>
        <v>#REF!</v>
      </c>
      <c r="G73" s="410" t="e">
        <f>$B$36*'Wskaźniki emisji, założenia'!E5/1000000</f>
        <v>#REF!</v>
      </c>
      <c r="H73" s="410" t="e">
        <f>$B$36*'Wskaźniki emisji, założenia'!F5/1000000</f>
        <v>#REF!</v>
      </c>
      <c r="I73" s="410" t="e">
        <f>$B$36*'Wskaźniki emisji, założenia'!G5/1000000</f>
        <v>#REF!</v>
      </c>
      <c r="J73" s="410" t="e">
        <f>$B$36*'Wskaźniki emisji, założenia'!H5/1000000</f>
        <v>#REF!</v>
      </c>
      <c r="K73" s="409"/>
      <c r="L73" s="409"/>
      <c r="M73" s="409"/>
      <c r="N73" s="409"/>
      <c r="O73" s="409"/>
      <c r="P73" s="409"/>
      <c r="Q73" s="409"/>
      <c r="R73" s="434"/>
    </row>
    <row r="74" spans="1:18">
      <c r="A74" s="468" t="s">
        <v>366</v>
      </c>
      <c r="B74" s="469" t="e">
        <f>SUM(B46:B73)</f>
        <v>#REF!</v>
      </c>
      <c r="C74" s="470" t="e">
        <f>SUM(C46:C73)</f>
        <v>#REF!</v>
      </c>
      <c r="K74" s="409"/>
      <c r="L74" s="409"/>
      <c r="M74" s="409"/>
      <c r="N74" s="409"/>
      <c r="O74" s="409"/>
      <c r="P74" s="409"/>
      <c r="Q74" s="409"/>
    </row>
    <row r="75" spans="1:18" ht="12.75" customHeight="1">
      <c r="A75" s="735" t="s">
        <v>415</v>
      </c>
      <c r="B75" s="735"/>
      <c r="C75" s="735"/>
    </row>
    <row r="76" spans="1:18">
      <c r="A76" s="436" t="s">
        <v>26</v>
      </c>
      <c r="B76" s="3" t="e">
        <f>COUNTIFS(#REF!,A76)</f>
        <v>#REF!</v>
      </c>
    </row>
    <row r="77" spans="1:18">
      <c r="A77" s="436" t="s">
        <v>274</v>
      </c>
      <c r="B77" s="3" t="e">
        <f>COUNTIFS(#REF!,A77)</f>
        <v>#REF!</v>
      </c>
    </row>
    <row r="78" spans="1:18">
      <c r="A78" s="472"/>
    </row>
  </sheetData>
  <mergeCells count="15">
    <mergeCell ref="A1:U1"/>
    <mergeCell ref="A59:Q59"/>
    <mergeCell ref="A43:C44"/>
    <mergeCell ref="A45:Q45"/>
    <mergeCell ref="A56:Q56"/>
    <mergeCell ref="A75:C75"/>
    <mergeCell ref="A62:Q62"/>
    <mergeCell ref="K43:Q43"/>
    <mergeCell ref="D43:J43"/>
    <mergeCell ref="A70:C70"/>
    <mergeCell ref="A72:C72"/>
    <mergeCell ref="D69:J69"/>
    <mergeCell ref="D72:J72"/>
    <mergeCell ref="A65:Q65"/>
    <mergeCell ref="A69:C69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32D214"/>
  </sheetPr>
  <dimension ref="A1:T49"/>
  <sheetViews>
    <sheetView view="pageBreakPreview" zoomScaleNormal="85" zoomScaleSheetLayoutView="100" workbookViewId="0">
      <selection activeCell="B6" sqref="B6:B11"/>
    </sheetView>
  </sheetViews>
  <sheetFormatPr defaultColWidth="9" defaultRowHeight="14.25"/>
  <cols>
    <col min="1" max="1" width="26.875" style="342" customWidth="1"/>
    <col min="2" max="2" width="12.125" style="342" customWidth="1"/>
    <col min="3" max="3" width="12" style="342" customWidth="1"/>
    <col min="4" max="4" width="9.375" style="342" bestFit="1" customWidth="1"/>
    <col min="5" max="5" width="9.75" style="342" bestFit="1" customWidth="1"/>
    <col min="6" max="10" width="9" style="342"/>
    <col min="11" max="11" width="9.375" style="342" bestFit="1" customWidth="1"/>
    <col min="12" max="12" width="9" style="342"/>
    <col min="13" max="13" width="10" style="342" bestFit="1" customWidth="1"/>
    <col min="14" max="16" width="9" style="342"/>
    <col min="17" max="17" width="17.125" style="342" bestFit="1" customWidth="1"/>
    <col min="18" max="18" width="10.5" style="342" bestFit="1" customWidth="1"/>
    <col min="19" max="19" width="13.125" style="342" bestFit="1" customWidth="1"/>
    <col min="20" max="22" width="9" style="342"/>
    <col min="23" max="23" width="13.125" style="342" customWidth="1"/>
    <col min="24" max="24" width="10" style="342" customWidth="1"/>
    <col min="25" max="26" width="9" style="342"/>
    <col min="27" max="27" width="6.625" style="342" customWidth="1"/>
    <col min="28" max="16384" width="9" style="342"/>
  </cols>
  <sheetData>
    <row r="1" spans="1:20" s="514" customFormat="1" ht="15.75">
      <c r="A1" s="728" t="s">
        <v>469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</row>
    <row r="2" spans="1:20" ht="15" customHeight="1">
      <c r="A2" s="745" t="s">
        <v>432</v>
      </c>
      <c r="B2" s="745"/>
      <c r="C2" s="745"/>
      <c r="D2" s="745"/>
      <c r="E2" s="745"/>
      <c r="F2" s="745"/>
      <c r="G2" s="745"/>
      <c r="H2" s="745"/>
      <c r="I2" s="745"/>
      <c r="J2" s="745"/>
      <c r="K2" s="745"/>
      <c r="L2" s="745"/>
      <c r="M2" s="745"/>
      <c r="N2" s="745"/>
      <c r="O2" s="745"/>
      <c r="P2" s="745"/>
      <c r="Q2" s="516"/>
      <c r="R2" s="483"/>
      <c r="S2" s="483"/>
      <c r="T2" s="483"/>
    </row>
    <row r="3" spans="1:20" ht="15">
      <c r="A3" s="745"/>
      <c r="B3" s="745"/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5"/>
      <c r="Q3" s="516"/>
      <c r="R3" s="483"/>
      <c r="S3" s="483"/>
      <c r="T3" s="483"/>
    </row>
    <row r="4" spans="1:20" ht="15">
      <c r="A4" s="483" t="s">
        <v>465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83"/>
      <c r="T4" s="483"/>
    </row>
    <row r="5" spans="1:20" ht="28.5">
      <c r="A5" s="485" t="s">
        <v>358</v>
      </c>
      <c r="B5" s="485" t="s">
        <v>369</v>
      </c>
      <c r="C5" s="487" t="s">
        <v>178</v>
      </c>
      <c r="F5" s="499"/>
    </row>
    <row r="6" spans="1:20">
      <c r="A6" s="500" t="s">
        <v>8</v>
      </c>
      <c r="B6" s="478"/>
      <c r="C6" s="479">
        <v>0.55000000000000004</v>
      </c>
    </row>
    <row r="7" spans="1:20" ht="15">
      <c r="A7" s="500" t="s">
        <v>388</v>
      </c>
      <c r="B7" s="478"/>
      <c r="C7" s="479">
        <v>0.01</v>
      </c>
      <c r="F7" s="484" t="s">
        <v>365</v>
      </c>
    </row>
    <row r="8" spans="1:20">
      <c r="A8" s="500" t="s">
        <v>26</v>
      </c>
      <c r="B8" s="478"/>
      <c r="C8" s="479">
        <v>0.43099999999999994</v>
      </c>
      <c r="F8" s="497" t="s">
        <v>332</v>
      </c>
      <c r="G8" s="497" t="s">
        <v>333</v>
      </c>
      <c r="H8" s="497" t="s">
        <v>334</v>
      </c>
      <c r="I8" s="497" t="s">
        <v>335</v>
      </c>
      <c r="J8" s="497" t="s">
        <v>336</v>
      </c>
      <c r="K8" s="497" t="s">
        <v>337</v>
      </c>
      <c r="L8" s="497" t="s">
        <v>338</v>
      </c>
    </row>
    <row r="9" spans="1:20">
      <c r="A9" s="501" t="s">
        <v>7</v>
      </c>
      <c r="B9" s="478"/>
      <c r="C9" s="479">
        <v>0</v>
      </c>
      <c r="F9" s="498">
        <f t="shared" ref="F9:L9" si="0">SUM(C18:C39)+SUM(J18:J39)+D43+D45</f>
        <v>0</v>
      </c>
      <c r="G9" s="498">
        <f t="shared" si="0"/>
        <v>0</v>
      </c>
      <c r="H9" s="498">
        <f t="shared" si="0"/>
        <v>0</v>
      </c>
      <c r="I9" s="498">
        <f t="shared" si="0"/>
        <v>0</v>
      </c>
      <c r="J9" s="498">
        <f t="shared" si="0"/>
        <v>0</v>
      </c>
      <c r="K9" s="498">
        <f t="shared" si="0"/>
        <v>0</v>
      </c>
      <c r="L9" s="498">
        <f t="shared" si="0"/>
        <v>0</v>
      </c>
    </row>
    <row r="10" spans="1:20">
      <c r="A10" s="500" t="s">
        <v>9</v>
      </c>
      <c r="B10" s="478"/>
      <c r="C10" s="479">
        <v>5.0000000000000001E-3</v>
      </c>
    </row>
    <row r="11" spans="1:20">
      <c r="A11" s="500" t="s">
        <v>3</v>
      </c>
      <c r="B11" s="478"/>
      <c r="C11" s="479">
        <v>4.0000000000000001E-3</v>
      </c>
    </row>
    <row r="12" spans="1:20" s="501" customFormat="1">
      <c r="A12" s="502" t="s">
        <v>137</v>
      </c>
      <c r="B12" s="503">
        <f>SUM(B6:B11)</f>
        <v>0</v>
      </c>
      <c r="C12" s="504">
        <v>1</v>
      </c>
      <c r="D12" s="34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</row>
    <row r="13" spans="1:20" ht="15" customHeight="1">
      <c r="A13" s="505"/>
      <c r="B13" s="506"/>
      <c r="C13" s="507"/>
    </row>
    <row r="14" spans="1:20" ht="14.25" customHeight="1">
      <c r="A14" s="407" t="s">
        <v>422</v>
      </c>
      <c r="B14" s="501"/>
      <c r="C14" s="501"/>
      <c r="D14" s="501"/>
      <c r="E14" s="501"/>
      <c r="F14" s="501"/>
      <c r="G14" s="501"/>
      <c r="H14" s="501"/>
      <c r="I14" s="501"/>
      <c r="J14" s="501"/>
      <c r="K14" s="501"/>
      <c r="L14" s="501"/>
      <c r="M14" s="501"/>
      <c r="N14" s="501"/>
      <c r="O14" s="501"/>
      <c r="P14" s="501"/>
      <c r="Q14" s="501"/>
    </row>
    <row r="15" spans="1:20" ht="15">
      <c r="A15" s="729" t="s">
        <v>426</v>
      </c>
      <c r="B15" s="730"/>
      <c r="C15" s="727" t="s">
        <v>416</v>
      </c>
      <c r="D15" s="727"/>
      <c r="E15" s="727"/>
      <c r="F15" s="727"/>
      <c r="G15" s="727"/>
      <c r="H15" s="727"/>
      <c r="I15" s="727"/>
      <c r="J15" s="727" t="s">
        <v>417</v>
      </c>
      <c r="K15" s="727"/>
      <c r="L15" s="727"/>
      <c r="M15" s="727"/>
      <c r="N15" s="727"/>
      <c r="O15" s="727"/>
      <c r="P15" s="727"/>
    </row>
    <row r="16" spans="1:20">
      <c r="A16" s="731"/>
      <c r="B16" s="732"/>
      <c r="C16" s="508" t="s">
        <v>332</v>
      </c>
      <c r="D16" s="508" t="s">
        <v>333</v>
      </c>
      <c r="E16" s="508" t="s">
        <v>334</v>
      </c>
      <c r="F16" s="508" t="s">
        <v>335</v>
      </c>
      <c r="G16" s="508" t="s">
        <v>336</v>
      </c>
      <c r="H16" s="508" t="s">
        <v>337</v>
      </c>
      <c r="I16" s="508" t="s">
        <v>338</v>
      </c>
      <c r="J16" s="508" t="s">
        <v>332</v>
      </c>
      <c r="K16" s="508" t="s">
        <v>333</v>
      </c>
      <c r="L16" s="508" t="s">
        <v>334</v>
      </c>
      <c r="M16" s="508" t="s">
        <v>335</v>
      </c>
      <c r="N16" s="508" t="s">
        <v>336</v>
      </c>
      <c r="O16" s="508" t="s">
        <v>337</v>
      </c>
      <c r="P16" s="508" t="s">
        <v>338</v>
      </c>
    </row>
    <row r="17" spans="1:16" ht="15">
      <c r="A17" s="733" t="s">
        <v>361</v>
      </c>
      <c r="B17" s="734"/>
      <c r="C17" s="734"/>
      <c r="D17" s="734"/>
      <c r="E17" s="734"/>
      <c r="F17" s="734"/>
      <c r="G17" s="734"/>
      <c r="H17" s="734"/>
      <c r="I17" s="734"/>
      <c r="J17" s="734"/>
      <c r="K17" s="734"/>
      <c r="L17" s="734"/>
      <c r="M17" s="734"/>
      <c r="N17" s="734"/>
      <c r="O17" s="734"/>
      <c r="P17" s="734"/>
    </row>
    <row r="18" spans="1:16">
      <c r="A18" s="408" t="s">
        <v>378</v>
      </c>
      <c r="B18" s="482">
        <f>'Mieszkalnictwo 2015'!B34</f>
        <v>0.64973833175914619</v>
      </c>
      <c r="C18" s="509">
        <f>$B$18*$B$6*'Wskaźniki emisji, założenia'!B10/1000000</f>
        <v>0</v>
      </c>
      <c r="D18" s="509">
        <f>$B$18*$B$6*'Wskaźniki emisji, założenia'!C10/1000000</f>
        <v>0</v>
      </c>
      <c r="E18" s="509">
        <f>$B$18*$B$6*'Wskaźniki emisji, założenia'!D10/1000000</f>
        <v>0</v>
      </c>
      <c r="F18" s="509">
        <f>$B$18*$B$6*'Wskaźniki emisji, założenia'!E10/1000000</f>
        <v>0</v>
      </c>
      <c r="G18" s="509">
        <f>$B$18*$B$6*'Wskaźniki emisji, założenia'!F10/1000000</f>
        <v>0</v>
      </c>
      <c r="H18" s="509">
        <f>$B$18*$B$6*'Wskaźniki emisji, założenia'!G10/1000000</f>
        <v>0</v>
      </c>
      <c r="I18" s="509">
        <f>$B$18*$B$6*'Wskaźniki emisji, założenia'!H10/1000000</f>
        <v>0</v>
      </c>
      <c r="J18" s="509">
        <f>'Wskaźniki emisji, założenia'!B21/1000000*$B$18*$B$7</f>
        <v>0</v>
      </c>
      <c r="K18" s="509">
        <f>'Wskaźniki emisji, założenia'!C21/1000000*$B$18*$B$7</f>
        <v>0</v>
      </c>
      <c r="L18" s="509">
        <f>'Wskaźniki emisji, założenia'!D21/1000000*$B$18*$B$7</f>
        <v>0</v>
      </c>
      <c r="M18" s="509">
        <f>'Wskaźniki emisji, założenia'!E21/1000000*$B$18*$B$7</f>
        <v>0</v>
      </c>
      <c r="N18" s="509">
        <f>'Wskaźniki emisji, założenia'!F21/1000000*$B$18*$B$7</f>
        <v>0</v>
      </c>
      <c r="O18" s="509">
        <f>'Wskaźniki emisji, założenia'!G21/1000000*$B$18*$B$7</f>
        <v>0</v>
      </c>
      <c r="P18" s="509">
        <f>'Wskaźniki emisji, założenia'!H21/1000000*$B$18*$B$7</f>
        <v>0</v>
      </c>
    </row>
    <row r="19" spans="1:16">
      <c r="A19" s="408" t="s">
        <v>379</v>
      </c>
      <c r="B19" s="482">
        <f>'Mieszkalnictwo 2015'!B35</f>
        <v>5.0000000000000001E-3</v>
      </c>
      <c r="C19" s="509">
        <f>$B$19*$B$6*'Wskaźniki emisji, założenia'!B11/1000000</f>
        <v>0</v>
      </c>
      <c r="D19" s="509">
        <f>$B$19*$B$6*'Wskaźniki emisji, założenia'!C11/1000000</f>
        <v>0</v>
      </c>
      <c r="E19" s="509">
        <f>$B$19*$B$6*'Wskaźniki emisji, założenia'!D11/1000000</f>
        <v>0</v>
      </c>
      <c r="F19" s="509">
        <f>$B$19*$B$6*'Wskaźniki emisji, założenia'!E11/1000000</f>
        <v>0</v>
      </c>
      <c r="G19" s="509">
        <f>$B$19*$B$6*'Wskaźniki emisji, założenia'!F11/1000000</f>
        <v>0</v>
      </c>
      <c r="H19" s="509">
        <f>$B$19*$B$6*'Wskaźniki emisji, założenia'!G11/1000000</f>
        <v>0</v>
      </c>
      <c r="I19" s="509">
        <f>$B$19*$B$6*'Wskaźniki emisji, założenia'!H11/1000000</f>
        <v>0</v>
      </c>
      <c r="J19" s="509">
        <f>'Wskaźniki emisji, założenia'!B22/1000000*$B$19*$B$7</f>
        <v>0</v>
      </c>
      <c r="K19" s="509">
        <f>'Wskaźniki emisji, założenia'!C22/1000000*$B$19*$B$7</f>
        <v>0</v>
      </c>
      <c r="L19" s="509">
        <f>'Wskaźniki emisji, założenia'!D22/1000000*$B$19*$B$7</f>
        <v>0</v>
      </c>
      <c r="M19" s="509">
        <f>'Wskaźniki emisji, założenia'!E22/1000000*$B$19*$B$7</f>
        <v>0</v>
      </c>
      <c r="N19" s="509">
        <f>'Wskaźniki emisji, założenia'!F22/1000000*$B$19*$B$7</f>
        <v>0</v>
      </c>
      <c r="O19" s="509">
        <f>'Wskaźniki emisji, założenia'!G22/1000000*$B$19*$B$7</f>
        <v>0</v>
      </c>
      <c r="P19" s="509">
        <f>'Wskaźniki emisji, założenia'!H22/1000000*$B$19*$B$7</f>
        <v>0</v>
      </c>
    </row>
    <row r="20" spans="1:16">
      <c r="A20" s="408" t="s">
        <v>380</v>
      </c>
      <c r="B20" s="482">
        <f>'Mieszkalnictwo 2015'!B36</f>
        <v>0.03</v>
      </c>
      <c r="C20" s="509">
        <f>$B$20*$B$6*'Wskaźniki emisji, założenia'!B12/1000000</f>
        <v>0</v>
      </c>
      <c r="D20" s="509">
        <f>$B$20*$B$6*'Wskaźniki emisji, założenia'!C12/1000000</f>
        <v>0</v>
      </c>
      <c r="E20" s="509">
        <f>$B$20*$B$6*'Wskaźniki emisji, założenia'!D12/1000000</f>
        <v>0</v>
      </c>
      <c r="F20" s="509">
        <f>$B$20*$B$6*'Wskaźniki emisji, założenia'!E12/1000000</f>
        <v>0</v>
      </c>
      <c r="G20" s="509">
        <f>$B$20*$B$6*'Wskaźniki emisji, założenia'!F12/1000000</f>
        <v>0</v>
      </c>
      <c r="H20" s="509">
        <f>$B$20*$B$6*'Wskaźniki emisji, założenia'!G12/1000000</f>
        <v>0</v>
      </c>
      <c r="I20" s="509">
        <f>$B$20*$B$6*'Wskaźniki emisji, założenia'!H12/1000000</f>
        <v>0</v>
      </c>
      <c r="J20" s="509">
        <f>'Wskaźniki emisji, założenia'!B23/1000000*$B$20*$B$7</f>
        <v>0</v>
      </c>
      <c r="K20" s="509">
        <f>'Wskaźniki emisji, założenia'!C23/1000000*$B$20*$B$7</f>
        <v>0</v>
      </c>
      <c r="L20" s="509">
        <f>'Wskaźniki emisji, założenia'!D23/1000000*$B$20*$B$7</f>
        <v>0</v>
      </c>
      <c r="M20" s="509">
        <f>'Wskaźniki emisji, założenia'!E23/1000000*$B$20*$B$7</f>
        <v>0</v>
      </c>
      <c r="N20" s="509">
        <f>'Wskaźniki emisji, założenia'!F23/1000000*$B$20*$B$7</f>
        <v>0</v>
      </c>
      <c r="O20" s="509">
        <f>'Wskaźniki emisji, założenia'!G23/1000000*$B$20*$B$7</f>
        <v>0</v>
      </c>
      <c r="P20" s="509">
        <f>'Wskaźniki emisji, założenia'!H23/1000000*$B$20*$B$7</f>
        <v>0</v>
      </c>
    </row>
    <row r="21" spans="1:16">
      <c r="A21" s="408" t="s">
        <v>381</v>
      </c>
      <c r="B21" s="482">
        <f>'Mieszkalnictwo 2015'!B37</f>
        <v>0.01</v>
      </c>
      <c r="C21" s="509">
        <f>$B$21*$B$6*'Wskaźniki emisji, założenia'!B13/1000000</f>
        <v>0</v>
      </c>
      <c r="D21" s="509">
        <f>$B$21*$B$6*'Wskaźniki emisji, założenia'!C13/1000000</f>
        <v>0</v>
      </c>
      <c r="E21" s="509">
        <f>$B$21*$B$6*'Wskaźniki emisji, założenia'!D13/1000000</f>
        <v>0</v>
      </c>
      <c r="F21" s="509">
        <f>$B$21*$B$6*'Wskaźniki emisji, założenia'!E13/1000000</f>
        <v>0</v>
      </c>
      <c r="G21" s="509">
        <f>$B$21*$B$6*'Wskaźniki emisji, założenia'!F13/1000000</f>
        <v>0</v>
      </c>
      <c r="H21" s="509">
        <f>$B$21*$B$6*'Wskaźniki emisji, założenia'!G13/1000000</f>
        <v>0</v>
      </c>
      <c r="I21" s="509">
        <f>$B$21*$B$6*'Wskaźniki emisji, założenia'!H13/1000000</f>
        <v>0</v>
      </c>
      <c r="J21" s="509">
        <f>'Wskaźniki emisji, założenia'!B24/1000000*$B$21*$B$7</f>
        <v>0</v>
      </c>
      <c r="K21" s="509">
        <f>'Wskaźniki emisji, założenia'!C24/1000000*$B$21*$B$7</f>
        <v>0</v>
      </c>
      <c r="L21" s="509">
        <f>'Wskaźniki emisji, założenia'!D24/1000000*$B$21*$B$7</f>
        <v>0</v>
      </c>
      <c r="M21" s="509">
        <f>'Wskaźniki emisji, założenia'!E24/1000000*$B$21*$B$7</f>
        <v>0</v>
      </c>
      <c r="N21" s="509">
        <f>'Wskaźniki emisji, założenia'!F24/1000000*$B$21*$B$7</f>
        <v>0</v>
      </c>
      <c r="O21" s="509">
        <f>'Wskaźniki emisji, założenia'!G24/1000000*$B$21*$B$7</f>
        <v>0</v>
      </c>
      <c r="P21" s="509">
        <f>'Wskaźniki emisji, założenia'!H24/1000000*$B$21*$B$7</f>
        <v>0</v>
      </c>
    </row>
    <row r="22" spans="1:16">
      <c r="A22" s="408" t="s">
        <v>382</v>
      </c>
      <c r="B22" s="482">
        <f>'Mieszkalnictwo 2015'!B38</f>
        <v>1E-3</v>
      </c>
      <c r="C22" s="509">
        <f>$B$22*$B$6*'Wskaźniki emisji, założenia'!B14/1000000</f>
        <v>0</v>
      </c>
      <c r="D22" s="509">
        <f>$B$22*$B$6*'Wskaźniki emisji, założenia'!C14/1000000</f>
        <v>0</v>
      </c>
      <c r="E22" s="509">
        <f>$B$22*$B$6*'Wskaźniki emisji, założenia'!D14/1000000</f>
        <v>0</v>
      </c>
      <c r="F22" s="509">
        <f>$B$22*$B$6*'Wskaźniki emisji, założenia'!E14/1000000</f>
        <v>0</v>
      </c>
      <c r="G22" s="509">
        <f>$B$22*$B$6*'Wskaźniki emisji, założenia'!F14/1000000</f>
        <v>0</v>
      </c>
      <c r="H22" s="509">
        <f>$B$22*$B$6*'Wskaźniki emisji, założenia'!G14/1000000</f>
        <v>0</v>
      </c>
      <c r="I22" s="509">
        <f>$B$22*$B$6*'Wskaźniki emisji, założenia'!H14/1000000</f>
        <v>0</v>
      </c>
      <c r="J22" s="509">
        <f>'Wskaźniki emisji, założenia'!B25/1000000*$B$22*$B$7</f>
        <v>0</v>
      </c>
      <c r="K22" s="509">
        <f>'Wskaźniki emisji, założenia'!C25/1000000*$B$22*$B$7</f>
        <v>0</v>
      </c>
      <c r="L22" s="509">
        <f>'Wskaźniki emisji, założenia'!D25/1000000*$B$22*$B$7</f>
        <v>0</v>
      </c>
      <c r="M22" s="509">
        <f>'Wskaźniki emisji, założenia'!E25/1000000*$B$22*$B$7</f>
        <v>0</v>
      </c>
      <c r="N22" s="509">
        <f>'Wskaźniki emisji, założenia'!F25/1000000*$B$22*$B$7</f>
        <v>0</v>
      </c>
      <c r="O22" s="509">
        <f>'Wskaźniki emisji, założenia'!G25/1000000*$B$22*$B$7</f>
        <v>0</v>
      </c>
      <c r="P22" s="509">
        <f>'Wskaźniki emisji, założenia'!H25/1000000*$B$22*$B$7</f>
        <v>0</v>
      </c>
    </row>
    <row r="23" spans="1:16">
      <c r="A23" s="408" t="s">
        <v>383</v>
      </c>
      <c r="B23" s="482">
        <f>'Mieszkalnictwo 2015'!B39</f>
        <v>0</v>
      </c>
      <c r="C23" s="509">
        <f>$B$23*$B$6*'Wskaźniki emisji, założenia'!B15/1000000</f>
        <v>0</v>
      </c>
      <c r="D23" s="509">
        <f>$B$23*$B$6*'Wskaźniki emisji, założenia'!C15/1000000</f>
        <v>0</v>
      </c>
      <c r="E23" s="509">
        <f>$B$23*$B$6*'Wskaźniki emisji, założenia'!D15/1000000</f>
        <v>0</v>
      </c>
      <c r="F23" s="509">
        <f>$B$23*$B$6*'Wskaźniki emisji, założenia'!E15/1000000</f>
        <v>0</v>
      </c>
      <c r="G23" s="509">
        <f>$B$23*$B$6*'Wskaźniki emisji, założenia'!F15/1000000</f>
        <v>0</v>
      </c>
      <c r="H23" s="509">
        <f>$B$23*$B$6*'Wskaźniki emisji, założenia'!G15/1000000</f>
        <v>0</v>
      </c>
      <c r="I23" s="509">
        <f>$B$23*$B$6*'Wskaźniki emisji, założenia'!H15/1000000</f>
        <v>0</v>
      </c>
      <c r="J23" s="509">
        <f>'Wskaźniki emisji, założenia'!B26/1000000*$B$23*$B$7</f>
        <v>0</v>
      </c>
      <c r="K23" s="509">
        <f>'Wskaźniki emisji, założenia'!C26/1000000*$B$23*$B$7</f>
        <v>0</v>
      </c>
      <c r="L23" s="509">
        <f>'Wskaźniki emisji, założenia'!D26/1000000*$B$23*$B$7</f>
        <v>0</v>
      </c>
      <c r="M23" s="509">
        <f>'Wskaźniki emisji, założenia'!E26/1000000*$B$23*$B$7</f>
        <v>0</v>
      </c>
      <c r="N23" s="509">
        <f>'Wskaźniki emisji, założenia'!F26/1000000*$B$23*$B$7</f>
        <v>0</v>
      </c>
      <c r="O23" s="509">
        <f>'Wskaźniki emisji, założenia'!G26/1000000*$B$23*$B$7</f>
        <v>0</v>
      </c>
      <c r="P23" s="509">
        <f>'Wskaźniki emisji, założenia'!H26/1000000*$B$23*$B$7</f>
        <v>0</v>
      </c>
    </row>
    <row r="24" spans="1:16">
      <c r="A24" s="408" t="s">
        <v>387</v>
      </c>
      <c r="B24" s="482">
        <f>'Mieszkalnictwo 2015'!B40</f>
        <v>5.0000000000000001E-3</v>
      </c>
      <c r="C24" s="509">
        <f>$B$24*$B$6*'Wskaźniki emisji, założenia'!B16/1000000</f>
        <v>0</v>
      </c>
      <c r="D24" s="509">
        <f>$B$24*$B$6*'Wskaźniki emisji, założenia'!C16/1000000</f>
        <v>0</v>
      </c>
      <c r="E24" s="509">
        <f>$B$24*$B$6*'Wskaźniki emisji, założenia'!D16/1000000</f>
        <v>0</v>
      </c>
      <c r="F24" s="509">
        <f>$B$24*$B$6*'Wskaźniki emisji, założenia'!E16/1000000</f>
        <v>0</v>
      </c>
      <c r="G24" s="509">
        <f>$B$24*$B$6*'Wskaźniki emisji, założenia'!F16/1000000</f>
        <v>0</v>
      </c>
      <c r="H24" s="509">
        <f>$B$24*$B$6*'Wskaźniki emisji, założenia'!G16/1000000</f>
        <v>0</v>
      </c>
      <c r="I24" s="509">
        <f>$B$24*$B$6*'Wskaźniki emisji, założenia'!H16/1000000</f>
        <v>0</v>
      </c>
      <c r="J24" s="509">
        <f>'Wskaźniki emisji, założenia'!B27/1000000*$B$24*$B$7</f>
        <v>0</v>
      </c>
      <c r="K24" s="509">
        <f>'Wskaźniki emisji, założenia'!C27/1000000*$B$24*$B$7</f>
        <v>0</v>
      </c>
      <c r="L24" s="509">
        <f>'Wskaźniki emisji, założenia'!D27/1000000*$B$24*$B$7</f>
        <v>0</v>
      </c>
      <c r="M24" s="509">
        <f>'Wskaźniki emisji, założenia'!E27/1000000*$B$24*$B$7</f>
        <v>0</v>
      </c>
      <c r="N24" s="509">
        <f>'Wskaźniki emisji, założenia'!F27/1000000*$B$24*$B$7</f>
        <v>0</v>
      </c>
      <c r="O24" s="509">
        <f>'Wskaźniki emisji, założenia'!G27/1000000*$B$24*$B$7</f>
        <v>0</v>
      </c>
      <c r="P24" s="509">
        <f>'Wskaźniki emisji, założenia'!H27/1000000*$B$24*$B$7</f>
        <v>0</v>
      </c>
    </row>
    <row r="25" spans="1:16">
      <c r="A25" s="408" t="s">
        <v>384</v>
      </c>
      <c r="B25" s="482">
        <f>'Mieszkalnictwo 2015'!B41</f>
        <v>0</v>
      </c>
      <c r="C25" s="509">
        <f>$B$25*$B$6*'Wskaźniki emisji, założenia'!B17/1000000</f>
        <v>0</v>
      </c>
      <c r="D25" s="509">
        <f>$B$25*$B$6*'Wskaźniki emisji, założenia'!C17/1000000</f>
        <v>0</v>
      </c>
      <c r="E25" s="509">
        <f>$B$25*$B$6*'Wskaźniki emisji, założenia'!D17/1000000</f>
        <v>0</v>
      </c>
      <c r="F25" s="509">
        <f>$B$25*$B$6*'Wskaźniki emisji, założenia'!E17/1000000</f>
        <v>0</v>
      </c>
      <c r="G25" s="509">
        <f>$B$25*$B$6*'Wskaźniki emisji, założenia'!F17/1000000</f>
        <v>0</v>
      </c>
      <c r="H25" s="509">
        <f>$B$25*$B$6*'Wskaźniki emisji, założenia'!G17/1000000</f>
        <v>0</v>
      </c>
      <c r="I25" s="509">
        <f>$B$25*$B$6*'Wskaźniki emisji, założenia'!H17/1000000</f>
        <v>0</v>
      </c>
      <c r="J25" s="509">
        <f>'Wskaźniki emisji, założenia'!B28/1000000*$B$25*$B$7</f>
        <v>0</v>
      </c>
      <c r="K25" s="509">
        <f>'Wskaźniki emisji, założenia'!C28/1000000*$B$25*$B$7</f>
        <v>0</v>
      </c>
      <c r="L25" s="509">
        <f>'Wskaźniki emisji, założenia'!D28/1000000*$B$25*$B$7</f>
        <v>0</v>
      </c>
      <c r="M25" s="509">
        <f>'Wskaźniki emisji, założenia'!E28/1000000*$B$25*$B$7</f>
        <v>0</v>
      </c>
      <c r="N25" s="509">
        <f>'Wskaźniki emisji, założenia'!F28/1000000*$B$25*$B$7</f>
        <v>0</v>
      </c>
      <c r="O25" s="509">
        <f>'Wskaźniki emisji, założenia'!G28/1000000*$B$25*$B$7</f>
        <v>0</v>
      </c>
      <c r="P25" s="509">
        <f>'Wskaźniki emisji, założenia'!H28/1000000*$B$25*$B$7</f>
        <v>0</v>
      </c>
    </row>
    <row r="26" spans="1:16">
      <c r="A26" s="408" t="s">
        <v>385</v>
      </c>
      <c r="B26" s="482">
        <f>'Mieszkalnictwo 2015'!B42</f>
        <v>2E-3</v>
      </c>
      <c r="C26" s="509">
        <f>$B$26*$B$6*'Wskaźniki emisji, założenia'!B18/1000000</f>
        <v>0</v>
      </c>
      <c r="D26" s="509">
        <f>$B$26*$B$6*'Wskaźniki emisji, założenia'!C18/1000000</f>
        <v>0</v>
      </c>
      <c r="E26" s="509">
        <f>$B$26*$B$6*'Wskaźniki emisji, założenia'!D18/1000000</f>
        <v>0</v>
      </c>
      <c r="F26" s="509">
        <f>$B$26*$B$6*'Wskaźniki emisji, założenia'!E18/1000000</f>
        <v>0</v>
      </c>
      <c r="G26" s="509">
        <f>$B$26*$B$6*'Wskaźniki emisji, założenia'!F18/1000000</f>
        <v>0</v>
      </c>
      <c r="H26" s="509">
        <f>$B$26*$B$6*'Wskaźniki emisji, założenia'!G18/1000000</f>
        <v>0</v>
      </c>
      <c r="I26" s="509">
        <f>$B$26*$B$6*'Wskaźniki emisji, założenia'!H18/1000000</f>
        <v>0</v>
      </c>
      <c r="J26" s="509">
        <f>'Wskaźniki emisji, założenia'!B29/1000000*$B$26*$B$7</f>
        <v>0</v>
      </c>
      <c r="K26" s="509">
        <f>'Wskaźniki emisji, założenia'!C29/1000000*$B$26*$B$7</f>
        <v>0</v>
      </c>
      <c r="L26" s="509">
        <f>'Wskaźniki emisji, założenia'!D29/1000000*$B$26*$B$7</f>
        <v>0</v>
      </c>
      <c r="M26" s="509">
        <f>'Wskaźniki emisji, założenia'!E29/1000000*$B$26*$B$7</f>
        <v>0</v>
      </c>
      <c r="N26" s="509">
        <f>'Wskaźniki emisji, założenia'!F29/1000000*$B$26*$B$7</f>
        <v>0</v>
      </c>
      <c r="O26" s="509">
        <f>'Wskaźniki emisji, założenia'!G29/1000000*$B$26*$B$7</f>
        <v>0</v>
      </c>
      <c r="P26" s="509">
        <f>'Wskaźniki emisji, założenia'!H29/1000000*$B$26*$B$7</f>
        <v>0</v>
      </c>
    </row>
    <row r="27" spans="1:16">
      <c r="A27" s="408" t="s">
        <v>386</v>
      </c>
      <c r="B27" s="482">
        <f>'Mieszkalnictwo 2015'!B43</f>
        <v>0</v>
      </c>
      <c r="C27" s="509">
        <f>$B$27*$B$6*'Wskaźniki emisji, założenia'!B19/1000000</f>
        <v>0</v>
      </c>
      <c r="D27" s="509">
        <f>$B$27*$B$6*'Wskaźniki emisji, założenia'!C19/1000000</f>
        <v>0</v>
      </c>
      <c r="E27" s="509">
        <f>$B$27*$B$6*'Wskaźniki emisji, założenia'!D19/1000000</f>
        <v>0</v>
      </c>
      <c r="F27" s="509">
        <f>$B$27*$B$6*'Wskaźniki emisji, założenia'!E19/1000000</f>
        <v>0</v>
      </c>
      <c r="G27" s="509">
        <f>$B$27*$B$6*'Wskaźniki emisji, założenia'!F19/1000000</f>
        <v>0</v>
      </c>
      <c r="H27" s="509">
        <f>$B$27*$B$6*'Wskaźniki emisji, założenia'!G19/1000000</f>
        <v>0</v>
      </c>
      <c r="I27" s="509">
        <f>$B$27*$B$6*'Wskaźniki emisji, założenia'!H19/1000000</f>
        <v>0</v>
      </c>
      <c r="J27" s="509">
        <f>'Wskaźniki emisji, założenia'!B30/1000000*$B$27*$B$7</f>
        <v>0</v>
      </c>
      <c r="K27" s="509">
        <f>'Wskaźniki emisji, założenia'!C30/1000000*$B$27*$B$7</f>
        <v>0</v>
      </c>
      <c r="L27" s="509">
        <f>'Wskaźniki emisji, założenia'!D30/1000000*$B$27*$B$7</f>
        <v>0</v>
      </c>
      <c r="M27" s="509">
        <f>'Wskaźniki emisji, założenia'!E30/1000000*$B$27*$B$7</f>
        <v>0</v>
      </c>
      <c r="N27" s="509">
        <f>'Wskaźniki emisji, założenia'!F30/1000000*$B$27*$B$7</f>
        <v>0</v>
      </c>
      <c r="O27" s="509">
        <f>'Wskaźniki emisji, założenia'!G30/1000000*$B$27*$B$7</f>
        <v>0</v>
      </c>
      <c r="P27" s="509">
        <f>'Wskaźniki emisji, założenia'!H30/1000000*$B$27*$B$7</f>
        <v>0</v>
      </c>
    </row>
    <row r="28" spans="1:16" ht="15">
      <c r="A28" s="510" t="s">
        <v>360</v>
      </c>
      <c r="B28" s="482"/>
      <c r="C28" s="511"/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2"/>
    </row>
    <row r="29" spans="1:16">
      <c r="A29" s="408" t="s">
        <v>371</v>
      </c>
      <c r="B29" s="482">
        <f>'Mieszkalnictwo 2015'!B45</f>
        <v>8.6835561531118155E-2</v>
      </c>
      <c r="C29" s="509">
        <f>'Wskaźniki emisji, założenia'!B32*$B$29*$B$6/1000000</f>
        <v>0</v>
      </c>
      <c r="D29" s="509">
        <f>'Wskaźniki emisji, założenia'!C32*$B$29*$B$6/1000000</f>
        <v>0</v>
      </c>
      <c r="E29" s="509">
        <f>'Wskaźniki emisji, założenia'!D32*$B$29*$B$6/1000000</f>
        <v>0</v>
      </c>
      <c r="F29" s="509">
        <f>'Wskaźniki emisji, założenia'!E32*$B$29*$B$6/1000000</f>
        <v>0</v>
      </c>
      <c r="G29" s="509">
        <f>'Wskaźniki emisji, założenia'!F32*$B$29*$B$6/1000000</f>
        <v>0</v>
      </c>
      <c r="H29" s="509">
        <f>'Wskaźniki emisji, założenia'!G32*$B$29*$B$6/1000000</f>
        <v>0</v>
      </c>
      <c r="I29" s="509">
        <f>'Wskaźniki emisji, założenia'!H32*$B$29*$B$6/1000000</f>
        <v>0</v>
      </c>
      <c r="J29" s="509">
        <v>0</v>
      </c>
      <c r="K29" s="509">
        <v>0</v>
      </c>
      <c r="L29" s="509">
        <v>0</v>
      </c>
      <c r="M29" s="509">
        <v>0</v>
      </c>
      <c r="N29" s="509">
        <v>0</v>
      </c>
      <c r="O29" s="509">
        <v>0</v>
      </c>
      <c r="P29" s="509">
        <v>0</v>
      </c>
    </row>
    <row r="30" spans="1:16">
      <c r="A30" s="408" t="s">
        <v>372</v>
      </c>
      <c r="B30" s="482">
        <f>'Mieszkalnictwo 2015'!B46</f>
        <v>0</v>
      </c>
      <c r="C30" s="509">
        <f>'Wskaźniki emisji, założenia'!B33*$B$30*$B$6/1000000</f>
        <v>0</v>
      </c>
      <c r="D30" s="509">
        <f>'Wskaźniki emisji, założenia'!C33*$B$30*$B$6/1000000</f>
        <v>0</v>
      </c>
      <c r="E30" s="509">
        <f>'Wskaźniki emisji, założenia'!D33*$B$30*$B$6/1000000</f>
        <v>0</v>
      </c>
      <c r="F30" s="509">
        <f>'Wskaźniki emisji, założenia'!E33*$B$30*$B$6/1000000</f>
        <v>0</v>
      </c>
      <c r="G30" s="509">
        <f>'Wskaźniki emisji, założenia'!F33*$B$30*$B$6/1000000</f>
        <v>0</v>
      </c>
      <c r="H30" s="509">
        <f>'Wskaźniki emisji, założenia'!G33*$B$30*$B$6/1000000</f>
        <v>0</v>
      </c>
      <c r="I30" s="509">
        <f>'Wskaźniki emisji, założenia'!H33*$B$30*$B$6/1000000</f>
        <v>0</v>
      </c>
      <c r="J30" s="509">
        <v>0</v>
      </c>
      <c r="K30" s="509">
        <v>0</v>
      </c>
      <c r="L30" s="509">
        <v>0</v>
      </c>
      <c r="M30" s="509">
        <v>0</v>
      </c>
      <c r="N30" s="509">
        <v>0</v>
      </c>
      <c r="O30" s="509">
        <v>0</v>
      </c>
      <c r="P30" s="509">
        <v>0</v>
      </c>
    </row>
    <row r="31" spans="1:16" ht="15">
      <c r="A31" s="510" t="s">
        <v>392</v>
      </c>
      <c r="B31" s="482"/>
      <c r="C31" s="511"/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2"/>
    </row>
    <row r="32" spans="1:16">
      <c r="A32" s="408" t="s">
        <v>373</v>
      </c>
      <c r="B32" s="482">
        <f>'Mieszkalnictwo 2015'!B48</f>
        <v>4.5594741865878703E-2</v>
      </c>
      <c r="C32" s="509">
        <f>'Wskaźniki emisji, założenia'!B37/1000000*$B$32*$B$6</f>
        <v>0</v>
      </c>
      <c r="D32" s="509">
        <f>'Wskaźniki emisji, założenia'!C37/1000000*$B$32*$B$6</f>
        <v>0</v>
      </c>
      <c r="E32" s="509">
        <f>'Wskaźniki emisji, założenia'!D37/1000000*$B$32*$B$6</f>
        <v>0</v>
      </c>
      <c r="F32" s="509">
        <f>'Wskaźniki emisji, założenia'!E37/1000000*$B$32*$B$6</f>
        <v>0</v>
      </c>
      <c r="G32" s="509">
        <f>'Wskaźniki emisji, założenia'!F37/1000000*$B$32*$B$6</f>
        <v>0</v>
      </c>
      <c r="H32" s="509">
        <f>'Wskaźniki emisji, założenia'!G37/1000000*$B$32*$B$6</f>
        <v>0</v>
      </c>
      <c r="I32" s="509">
        <f>'Wskaźniki emisji, założenia'!H37/1000000*$B$32*$B$6</f>
        <v>0</v>
      </c>
      <c r="J32" s="509">
        <f>'Wskaźniki emisji, założenia'!B42/1000000*$B$7*$B$32</f>
        <v>0</v>
      </c>
      <c r="K32" s="509">
        <f>'Wskaźniki emisji, założenia'!C42/1000000*$B$7*$B$32</f>
        <v>0</v>
      </c>
      <c r="L32" s="509">
        <f>'Wskaźniki emisji, założenia'!D42/1000000*$B$7*$B$32</f>
        <v>0</v>
      </c>
      <c r="M32" s="509">
        <f>'Wskaźniki emisji, założenia'!E42/1000000*$B$7*$B$32</f>
        <v>0</v>
      </c>
      <c r="N32" s="509">
        <f>'Wskaźniki emisji, założenia'!F42/1000000*$B$7*$B$32</f>
        <v>0</v>
      </c>
      <c r="O32" s="509">
        <f>'Wskaźniki emisji, założenia'!G42/1000000*$B$7*$B$32</f>
        <v>0</v>
      </c>
      <c r="P32" s="509">
        <f>'Wskaźniki emisji, założenia'!H42/1000000*$B$7*$B$32</f>
        <v>0</v>
      </c>
    </row>
    <row r="33" spans="1:17">
      <c r="A33" s="408" t="s">
        <v>374</v>
      </c>
      <c r="B33" s="482">
        <f>'Mieszkalnictwo 2015'!B49</f>
        <v>0</v>
      </c>
      <c r="C33" s="509">
        <f>'Wskaźniki emisji, założenia'!B38/1000000*$B$33*$B$6</f>
        <v>0</v>
      </c>
      <c r="D33" s="509">
        <f>'Wskaźniki emisji, założenia'!C38/1000000*$B$33*$B$6</f>
        <v>0</v>
      </c>
      <c r="E33" s="509">
        <f>'Wskaźniki emisji, założenia'!D38/1000000*$B$33*$B$6</f>
        <v>0</v>
      </c>
      <c r="F33" s="509">
        <f>'Wskaźniki emisji, założenia'!E38/1000000*$B$33*$B$6</f>
        <v>0</v>
      </c>
      <c r="G33" s="509">
        <f>'Wskaźniki emisji, założenia'!F38/1000000*$B$33*$B$6</f>
        <v>0</v>
      </c>
      <c r="H33" s="509">
        <f>'Wskaźniki emisji, założenia'!G38/1000000*$B$33*$B$6</f>
        <v>0</v>
      </c>
      <c r="I33" s="509">
        <f>'Wskaźniki emisji, założenia'!H38/1000000*$B$33*$B$6</f>
        <v>0</v>
      </c>
      <c r="J33" s="509">
        <f>'Wskaźniki emisji, założenia'!B43/1000000*$B$7*$B$33</f>
        <v>0</v>
      </c>
      <c r="K33" s="509">
        <f>'Wskaźniki emisji, założenia'!C43/1000000*$B$7*$B$33</f>
        <v>0</v>
      </c>
      <c r="L33" s="509">
        <f>'Wskaźniki emisji, założenia'!D43/1000000*$B$7*$B$33</f>
        <v>0</v>
      </c>
      <c r="M33" s="509">
        <f>'Wskaźniki emisji, założenia'!E43/1000000*$B$7*$B$33</f>
        <v>0</v>
      </c>
      <c r="N33" s="509">
        <f>'Wskaźniki emisji, założenia'!F43/1000000*$B$7*$B$33</f>
        <v>0</v>
      </c>
      <c r="O33" s="509">
        <f>'Wskaźniki emisji, założenia'!G43/1000000*$B$7*$B$33</f>
        <v>0</v>
      </c>
      <c r="P33" s="509">
        <f>'Wskaźniki emisji, założenia'!H43/1000000*$B$7*$B$33</f>
        <v>0</v>
      </c>
    </row>
    <row r="34" spans="1:17" ht="15">
      <c r="A34" s="510" t="s">
        <v>316</v>
      </c>
      <c r="B34" s="482"/>
      <c r="C34" s="511"/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2"/>
    </row>
    <row r="35" spans="1:17">
      <c r="A35" s="434" t="s">
        <v>375</v>
      </c>
      <c r="B35" s="482">
        <f>'Mieszkalnictwo 2015'!B51</f>
        <v>5.1211754758035827E-2</v>
      </c>
      <c r="C35" s="509">
        <v>0</v>
      </c>
      <c r="D35" s="509">
        <v>0</v>
      </c>
      <c r="E35" s="509">
        <v>0</v>
      </c>
      <c r="F35" s="509">
        <v>0</v>
      </c>
      <c r="G35" s="509">
        <v>0</v>
      </c>
      <c r="H35" s="509">
        <v>0</v>
      </c>
      <c r="I35" s="509">
        <v>0</v>
      </c>
      <c r="J35" s="509">
        <f>'Wskaźniki emisji, założenia'!B47*$B$35*$B$7/1000000</f>
        <v>0</v>
      </c>
      <c r="K35" s="509">
        <f>'Wskaźniki emisji, założenia'!C47*$B$35*$B$7/1000000</f>
        <v>0</v>
      </c>
      <c r="L35" s="509">
        <f>'Wskaźniki emisji, założenia'!D47*$B$35*$B$7/1000000</f>
        <v>0</v>
      </c>
      <c r="M35" s="509">
        <f>'Wskaźniki emisji, założenia'!E47*$B$35*$B$7/1000000</f>
        <v>0</v>
      </c>
      <c r="N35" s="509">
        <f>'Wskaźniki emisji, założenia'!F47*$B$35*$B$7/1000000</f>
        <v>0</v>
      </c>
      <c r="O35" s="509">
        <f>'Wskaźniki emisji, założenia'!G47*$B$35*$B$7/1000000</f>
        <v>0</v>
      </c>
      <c r="P35" s="509">
        <f>'Wskaźniki emisji, założenia'!H47*$B$35*$B$7/1000000</f>
        <v>0</v>
      </c>
    </row>
    <row r="36" spans="1:17">
      <c r="A36" s="434" t="s">
        <v>390</v>
      </c>
      <c r="B36" s="482">
        <f>'Mieszkalnictwo 2015'!B52</f>
        <v>0</v>
      </c>
      <c r="C36" s="509">
        <v>0</v>
      </c>
      <c r="D36" s="509">
        <v>0</v>
      </c>
      <c r="E36" s="509">
        <v>0</v>
      </c>
      <c r="F36" s="509">
        <v>0</v>
      </c>
      <c r="G36" s="509">
        <v>0</v>
      </c>
      <c r="H36" s="509">
        <v>0</v>
      </c>
      <c r="I36" s="509">
        <v>0</v>
      </c>
      <c r="J36" s="509">
        <f>'Wskaźniki emisji, założenia'!B48*$B$36*$B$7/1000000</f>
        <v>0</v>
      </c>
      <c r="K36" s="509">
        <f>'Wskaźniki emisji, założenia'!C48*$B$36*$B$7/1000000</f>
        <v>0</v>
      </c>
      <c r="L36" s="509">
        <f>'Wskaźniki emisji, założenia'!D48*$B$36*$B$7/1000000</f>
        <v>0</v>
      </c>
      <c r="M36" s="509">
        <f>'Wskaźniki emisji, założenia'!E48*$B$36*$B$7/1000000</f>
        <v>0</v>
      </c>
      <c r="N36" s="509">
        <f>'Wskaźniki emisji, założenia'!F48*$B$36*$B$7/1000000</f>
        <v>0</v>
      </c>
      <c r="O36" s="509">
        <f>'Wskaźniki emisji, założenia'!G48*$B$36*$B$7/1000000</f>
        <v>0</v>
      </c>
      <c r="P36" s="509">
        <f>'Wskaźniki emisji, założenia'!H48*$B$36*$B$7/1000000</f>
        <v>0</v>
      </c>
    </row>
    <row r="37" spans="1:17" ht="15">
      <c r="A37" s="510" t="s">
        <v>363</v>
      </c>
      <c r="B37" s="482"/>
      <c r="C37" s="511"/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2"/>
    </row>
    <row r="38" spans="1:17">
      <c r="A38" s="436" t="s">
        <v>376</v>
      </c>
      <c r="B38" s="482">
        <f>'Mieszkalnictwo 2015'!B54</f>
        <v>9.2896743854053651E-2</v>
      </c>
      <c r="C38" s="509">
        <f>$B$38*$B$6*'Wskaźniki emisji, założenia'!B52/1000000</f>
        <v>0</v>
      </c>
      <c r="D38" s="509">
        <f>$B$38*$B$6*'Wskaźniki emisji, założenia'!C52/1000000</f>
        <v>0</v>
      </c>
      <c r="E38" s="509">
        <f>$B$38*$B$6*'Wskaźniki emisji, założenia'!D52/1000000</f>
        <v>0</v>
      </c>
      <c r="F38" s="509">
        <f>$B$38*$B$6*'Wskaźniki emisji, założenia'!E52/1000000</f>
        <v>0</v>
      </c>
      <c r="G38" s="509">
        <f>$B$38*$B$6*'Wskaźniki emisji, założenia'!F52/1000000</f>
        <v>0</v>
      </c>
      <c r="H38" s="509">
        <f>$B$38*$B$6*'Wskaźniki emisji, założenia'!G52/1000000</f>
        <v>0</v>
      </c>
      <c r="I38" s="509">
        <f>$B$38*$B$6*'Wskaźniki emisji, założenia'!H52/1000000</f>
        <v>0</v>
      </c>
      <c r="J38" s="509">
        <f>'Wskaźniki emisji, założenia'!B57/1000000*$B$38*$B$6</f>
        <v>0</v>
      </c>
      <c r="K38" s="509">
        <f>'Wskaźniki emisji, założenia'!C57/1000000*$B$38*$B$6</f>
        <v>0</v>
      </c>
      <c r="L38" s="509">
        <f>'Wskaźniki emisji, założenia'!D57/1000000*$B$38*$B$6</f>
        <v>0</v>
      </c>
      <c r="M38" s="509">
        <f>'Wskaźniki emisji, założenia'!E57/1000000*$B$38*$B$6</f>
        <v>0</v>
      </c>
      <c r="N38" s="509">
        <f>'Wskaźniki emisji, założenia'!F57/1000000*$B$38*$B$6</f>
        <v>0</v>
      </c>
      <c r="O38" s="509">
        <f>'Wskaźniki emisji, założenia'!G57/1000000*$B$38*$B$6</f>
        <v>0</v>
      </c>
      <c r="P38" s="509">
        <f>'Wskaźniki emisji, założenia'!H57/1000000*$B$38*$B$6</f>
        <v>0</v>
      </c>
    </row>
    <row r="39" spans="1:17" ht="15" customHeight="1">
      <c r="A39" s="408" t="s">
        <v>377</v>
      </c>
      <c r="B39" s="482">
        <f>'Mieszkalnictwo 2015'!B55</f>
        <v>0</v>
      </c>
      <c r="C39" s="509">
        <f>$B$39*$B$6*'Wskaźniki emisji, założenia'!B53/1000000</f>
        <v>0</v>
      </c>
      <c r="D39" s="509">
        <f>$B$39*$B$6*'Wskaźniki emisji, założenia'!C53/1000000</f>
        <v>0</v>
      </c>
      <c r="E39" s="509">
        <f>$B$39*$B$6*'Wskaźniki emisji, założenia'!D53/1000000</f>
        <v>0</v>
      </c>
      <c r="F39" s="509">
        <f>$B$39*$B$6*'Wskaźniki emisji, założenia'!E53/1000000</f>
        <v>0</v>
      </c>
      <c r="G39" s="509">
        <f>$B$39*$B$6*'Wskaźniki emisji, założenia'!F53/1000000</f>
        <v>0</v>
      </c>
      <c r="H39" s="509">
        <f>$B$39*$B$6*'Wskaźniki emisji, założenia'!G53/1000000</f>
        <v>0</v>
      </c>
      <c r="I39" s="509">
        <f>$B$39*$B$6*'Wskaźniki emisji, założenia'!H53/1000000</f>
        <v>0</v>
      </c>
      <c r="J39" s="509">
        <f>'Wskaźniki emisji, założenia'!B58/1000000*$B$39*$B$7</f>
        <v>0</v>
      </c>
      <c r="K39" s="509">
        <f>'Wskaźniki emisji, założenia'!C58/1000000*$B$39*$B$7</f>
        <v>0</v>
      </c>
      <c r="L39" s="509">
        <f>'Wskaźniki emisji, założenia'!D58/1000000*$B$39*$B$7</f>
        <v>0</v>
      </c>
      <c r="M39" s="509">
        <f>'Wskaźniki emisji, założenia'!E58/1000000*$B$39*$B$7</f>
        <v>0</v>
      </c>
      <c r="N39" s="509">
        <f>'Wskaźniki emisji, założenia'!F58/1000000*$B$39*$B$7</f>
        <v>0</v>
      </c>
      <c r="O39" s="509">
        <f>'Wskaźniki emisji, założenia'!G58/1000000*$B$39*$B$7</f>
        <v>0</v>
      </c>
      <c r="P39" s="509">
        <f>'Wskaźniki emisji, założenia'!H58/1000000*$B$39*$B$7</f>
        <v>0</v>
      </c>
    </row>
    <row r="40" spans="1:17" ht="14.25" customHeight="1">
      <c r="A40" s="434"/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</row>
    <row r="41" spans="1:17" ht="15">
      <c r="A41" s="434"/>
      <c r="B41" s="434"/>
      <c r="C41" s="434"/>
      <c r="D41" s="727" t="s">
        <v>418</v>
      </c>
      <c r="E41" s="727"/>
      <c r="F41" s="727"/>
      <c r="G41" s="727"/>
      <c r="H41" s="727"/>
      <c r="I41" s="727"/>
      <c r="J41" s="727"/>
      <c r="K41" s="513"/>
      <c r="L41" s="513"/>
      <c r="M41" s="513"/>
      <c r="N41" s="513"/>
      <c r="O41" s="513"/>
      <c r="P41" s="513"/>
    </row>
    <row r="42" spans="1:17">
      <c r="A42" s="434"/>
      <c r="B42" s="434"/>
      <c r="C42" s="434"/>
      <c r="D42" s="508" t="s">
        <v>332</v>
      </c>
      <c r="E42" s="508" t="s">
        <v>333</v>
      </c>
      <c r="F42" s="508" t="s">
        <v>334</v>
      </c>
      <c r="G42" s="508" t="s">
        <v>335</v>
      </c>
      <c r="H42" s="508" t="s">
        <v>336</v>
      </c>
      <c r="I42" s="508" t="s">
        <v>337</v>
      </c>
      <c r="J42" s="508" t="s">
        <v>338</v>
      </c>
      <c r="K42" s="513"/>
      <c r="L42" s="513"/>
      <c r="M42" s="513"/>
      <c r="N42" s="513"/>
      <c r="O42" s="513"/>
      <c r="P42" s="513"/>
    </row>
    <row r="43" spans="1:17">
      <c r="A43" s="434"/>
      <c r="B43" s="434"/>
      <c r="C43" s="434"/>
      <c r="D43" s="509">
        <f>$B$8*'Wskaźniki emisji, założenia'!B4/1000000</f>
        <v>0</v>
      </c>
      <c r="E43" s="509">
        <f>$B$8*'Wskaźniki emisji, założenia'!C4/1000000</f>
        <v>0</v>
      </c>
      <c r="F43" s="509">
        <f>$B$8*'Wskaźniki emisji, założenia'!D4/1000000</f>
        <v>0</v>
      </c>
      <c r="G43" s="509">
        <f>$B$8*'Wskaźniki emisji, założenia'!E4/1000000</f>
        <v>0</v>
      </c>
      <c r="H43" s="509">
        <f>$B$8*'Wskaźniki emisji, założenia'!F4/1000000</f>
        <v>0</v>
      </c>
      <c r="I43" s="509">
        <f>$B$8*'Wskaźniki emisji, założenia'!G4/1000000</f>
        <v>0</v>
      </c>
      <c r="J43" s="509">
        <f>$B$8*'Wskaźniki emisji, założenia'!H4/1000000</f>
        <v>0</v>
      </c>
      <c r="K43" s="513"/>
      <c r="L43" s="513"/>
      <c r="M43" s="513"/>
      <c r="N43" s="513"/>
      <c r="O43" s="513"/>
      <c r="P43" s="513"/>
      <c r="Q43" s="434"/>
    </row>
    <row r="44" spans="1:17" ht="15">
      <c r="A44" s="434"/>
      <c r="B44" s="434"/>
      <c r="C44" s="434"/>
      <c r="D44" s="727" t="s">
        <v>419</v>
      </c>
      <c r="E44" s="727"/>
      <c r="F44" s="727"/>
      <c r="G44" s="727"/>
      <c r="H44" s="727"/>
      <c r="I44" s="727"/>
      <c r="J44" s="727"/>
      <c r="K44" s="513"/>
      <c r="L44" s="513"/>
      <c r="M44" s="513"/>
      <c r="N44" s="513"/>
      <c r="O44" s="513"/>
      <c r="P44" s="513"/>
      <c r="Q44" s="434"/>
    </row>
    <row r="45" spans="1:17" ht="12.75" customHeight="1">
      <c r="A45" s="434"/>
      <c r="B45" s="434"/>
      <c r="C45" s="434"/>
      <c r="D45" s="509">
        <f>$B$9*'Wskaźniki emisji, założenia'!B5/1000000</f>
        <v>0</v>
      </c>
      <c r="E45" s="509">
        <f>$B$9*'Wskaźniki emisji, założenia'!C5/1000000</f>
        <v>0</v>
      </c>
      <c r="F45" s="509">
        <f>$B$9*'Wskaźniki emisji, założenia'!D5/1000000</f>
        <v>0</v>
      </c>
      <c r="G45" s="509">
        <f>$B$9*'Wskaźniki emisji, założenia'!E5/1000000</f>
        <v>0</v>
      </c>
      <c r="H45" s="509">
        <f>$B$9*'Wskaźniki emisji, założenia'!F5/1000000</f>
        <v>0</v>
      </c>
      <c r="I45" s="509">
        <f>$B$9*'Wskaźniki emisji, założenia'!G5/1000000</f>
        <v>0</v>
      </c>
      <c r="J45" s="509">
        <f>$B$9*'Wskaźniki emisji, założenia'!H5/1000000</f>
        <v>0</v>
      </c>
      <c r="K45" s="513"/>
      <c r="L45" s="513"/>
      <c r="M45" s="513"/>
      <c r="N45" s="513"/>
      <c r="O45" s="513"/>
      <c r="P45" s="513"/>
      <c r="Q45" s="434"/>
    </row>
    <row r="46" spans="1:17">
      <c r="A46" s="434"/>
      <c r="B46" s="434"/>
      <c r="C46" s="434"/>
      <c r="K46" s="513"/>
      <c r="L46" s="513"/>
      <c r="M46" s="513"/>
      <c r="N46" s="513"/>
      <c r="O46" s="513"/>
      <c r="P46" s="513"/>
    </row>
    <row r="47" spans="1:17">
      <c r="A47" s="434"/>
      <c r="B47" s="434"/>
      <c r="C47" s="434"/>
    </row>
    <row r="48" spans="1:17">
      <c r="A48" s="434"/>
      <c r="B48" s="434"/>
      <c r="C48" s="434"/>
    </row>
    <row r="49" spans="1:3">
      <c r="A49" s="434"/>
      <c r="B49" s="434"/>
      <c r="C49" s="434"/>
    </row>
  </sheetData>
  <mergeCells count="8">
    <mergeCell ref="D44:J44"/>
    <mergeCell ref="A2:P3"/>
    <mergeCell ref="A1:T1"/>
    <mergeCell ref="A15:B16"/>
    <mergeCell ref="C15:I15"/>
    <mergeCell ref="J15:P15"/>
    <mergeCell ref="A17:P17"/>
    <mergeCell ref="D41:J4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U50"/>
  <sheetViews>
    <sheetView view="pageBreakPreview" zoomScale="85" zoomScaleNormal="70" zoomScaleSheetLayoutView="85" workbookViewId="0">
      <pane ySplit="1" topLeftCell="A2" activePane="bottomLeft" state="frozen"/>
      <selection pane="bottomLeft" activeCell="B22" sqref="B22"/>
    </sheetView>
  </sheetViews>
  <sheetFormatPr defaultRowHeight="14.25"/>
  <cols>
    <col min="1" max="1" width="26.875" customWidth="1"/>
    <col min="2" max="2" width="12.125" customWidth="1"/>
    <col min="3" max="3" width="10.5" bestFit="1" customWidth="1"/>
    <col min="4" max="4" width="9.375" bestFit="1" customWidth="1"/>
    <col min="5" max="5" width="9.75" bestFit="1" customWidth="1"/>
    <col min="11" max="11" width="9.375" bestFit="1" customWidth="1"/>
    <col min="13" max="13" width="10" bestFit="1" customWidth="1"/>
    <col min="24" max="24" width="9.5" bestFit="1" customWidth="1"/>
  </cols>
  <sheetData>
    <row r="1" spans="1:21" ht="15">
      <c r="A1" s="746" t="s">
        <v>396</v>
      </c>
      <c r="B1" s="746"/>
      <c r="C1" s="746"/>
      <c r="D1" s="746"/>
      <c r="E1" s="746"/>
      <c r="F1" s="746"/>
      <c r="G1" s="746"/>
      <c r="H1" s="746"/>
      <c r="I1" s="746"/>
      <c r="J1" s="746"/>
      <c r="K1" s="746"/>
      <c r="L1" s="746"/>
      <c r="M1" s="746"/>
      <c r="N1" s="746"/>
      <c r="O1" s="746"/>
      <c r="P1" s="746"/>
      <c r="Q1" s="746"/>
      <c r="R1" s="746"/>
      <c r="S1" s="746"/>
      <c r="T1" s="746"/>
      <c r="U1" s="746"/>
    </row>
    <row r="2" spans="1:21">
      <c r="A2" s="745" t="s">
        <v>421</v>
      </c>
      <c r="B2" s="745"/>
      <c r="C2" s="745"/>
      <c r="D2" s="745"/>
      <c r="E2" s="745"/>
      <c r="F2" s="745"/>
      <c r="G2" s="745"/>
      <c r="H2" s="745"/>
      <c r="I2" s="745"/>
      <c r="J2" s="745"/>
      <c r="K2" s="745"/>
      <c r="L2" s="745"/>
      <c r="M2" s="745"/>
      <c r="N2" s="745"/>
      <c r="O2" s="745"/>
      <c r="P2" s="745"/>
      <c r="Q2" s="745"/>
    </row>
    <row r="3" spans="1:21">
      <c r="A3" s="745"/>
      <c r="B3" s="745"/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5"/>
      <c r="Q3" s="745"/>
    </row>
    <row r="4" spans="1:21" ht="15">
      <c r="A4" s="407" t="s">
        <v>368</v>
      </c>
      <c r="C4" s="418">
        <v>6710.09</v>
      </c>
    </row>
    <row r="6" spans="1:21" ht="28.5">
      <c r="A6" s="426" t="s">
        <v>358</v>
      </c>
      <c r="B6" s="426" t="s">
        <v>369</v>
      </c>
      <c r="C6" s="427" t="s">
        <v>178</v>
      </c>
    </row>
    <row r="7" spans="1:21">
      <c r="A7" s="3" t="s">
        <v>8</v>
      </c>
      <c r="B7" s="432">
        <f>$C$4*C7</f>
        <v>3697.2595899999997</v>
      </c>
      <c r="C7" s="433">
        <f>100%-C8-C9-C10-C11-C12</f>
        <v>0.55099999999999993</v>
      </c>
    </row>
    <row r="8" spans="1:21" ht="15">
      <c r="A8" s="3" t="s">
        <v>388</v>
      </c>
      <c r="B8" s="432">
        <f t="shared" ref="B8:B13" si="0">$C$4*C8</f>
        <v>402.60539999999997</v>
      </c>
      <c r="C8" s="433">
        <v>0.06</v>
      </c>
      <c r="G8" s="407" t="s">
        <v>420</v>
      </c>
    </row>
    <row r="9" spans="1:21">
      <c r="A9" s="3" t="s">
        <v>26</v>
      </c>
      <c r="B9" s="432">
        <f t="shared" si="0"/>
        <v>2482.7332999999999</v>
      </c>
      <c r="C9" s="433">
        <v>0.37</v>
      </c>
      <c r="G9" s="419" t="s">
        <v>332</v>
      </c>
      <c r="H9" s="419" t="s">
        <v>333</v>
      </c>
      <c r="I9" s="419" t="s">
        <v>334</v>
      </c>
      <c r="J9" s="419" t="s">
        <v>335</v>
      </c>
      <c r="K9" s="419" t="s">
        <v>336</v>
      </c>
      <c r="L9" s="419" t="s">
        <v>337</v>
      </c>
      <c r="M9" s="419" t="s">
        <v>338</v>
      </c>
    </row>
    <row r="10" spans="1:21">
      <c r="A10" t="s">
        <v>7</v>
      </c>
      <c r="B10" s="432">
        <f t="shared" si="0"/>
        <v>13.42018</v>
      </c>
      <c r="C10" s="433">
        <v>2E-3</v>
      </c>
      <c r="G10" s="422" t="e">
        <f>SUM(D22:D49)+SUM(K22:K49)</f>
        <v>#REF!</v>
      </c>
      <c r="H10" s="422" t="e">
        <f>SUM(E22:E49)+SUM(L22:L49)</f>
        <v>#REF!</v>
      </c>
      <c r="I10" s="422" t="e">
        <f>SUM(F22:F49)+SUM(M22:M49)+B16*'Wskaźniki emisji, założenia'!C72</f>
        <v>#REF!</v>
      </c>
      <c r="J10" s="422" t="e">
        <f>SUM(G22:G49)+SUM(N22:N49)</f>
        <v>#REF!</v>
      </c>
      <c r="K10" s="422" t="e">
        <f>SUM(H22:H49)+SUM(O22:O49)</f>
        <v>#REF!</v>
      </c>
      <c r="L10" s="422" t="e">
        <f>SUM(I22:I49)+SUM(P22:P49)</f>
        <v>#REF!</v>
      </c>
      <c r="M10" s="422" t="e">
        <f>SUM(J22:J49)+SUM(Q22:Q49)</f>
        <v>#REF!</v>
      </c>
    </row>
    <row r="11" spans="1:21">
      <c r="A11" s="3" t="s">
        <v>9</v>
      </c>
      <c r="B11" s="432">
        <f t="shared" si="0"/>
        <v>80.521079999999998</v>
      </c>
      <c r="C11" s="433">
        <v>1.2E-2</v>
      </c>
    </row>
    <row r="12" spans="1:21">
      <c r="A12" s="3" t="s">
        <v>3</v>
      </c>
      <c r="B12" s="432">
        <f t="shared" si="0"/>
        <v>33.550449999999998</v>
      </c>
      <c r="C12" s="433">
        <v>5.0000000000000001E-3</v>
      </c>
    </row>
    <row r="13" spans="1:21">
      <c r="A13" s="3" t="s">
        <v>2</v>
      </c>
      <c r="B13" s="432">
        <f t="shared" si="0"/>
        <v>0</v>
      </c>
      <c r="C13" s="433"/>
    </row>
    <row r="14" spans="1:21">
      <c r="A14" s="421" t="s">
        <v>137</v>
      </c>
      <c r="B14" s="517">
        <f>SUM(B7:B13)</f>
        <v>6710.09</v>
      </c>
      <c r="C14" s="425">
        <f>SUM(C7:C13)</f>
        <v>1</v>
      </c>
    </row>
    <row r="15" spans="1:21">
      <c r="A15" t="s">
        <v>364</v>
      </c>
    </row>
    <row r="16" spans="1:21">
      <c r="B16" s="418">
        <f>0.024*79812</f>
        <v>1915.4880000000001</v>
      </c>
      <c r="C16" t="s">
        <v>64</v>
      </c>
    </row>
    <row r="17" spans="1:17" ht="15">
      <c r="A17" s="407" t="s">
        <v>422</v>
      </c>
    </row>
    <row r="19" spans="1:17" ht="15">
      <c r="A19" s="741" t="s">
        <v>395</v>
      </c>
      <c r="B19" s="741"/>
      <c r="C19" s="742"/>
      <c r="D19" s="739" t="s">
        <v>367</v>
      </c>
      <c r="E19" s="739"/>
      <c r="F19" s="739"/>
      <c r="G19" s="739"/>
      <c r="H19" s="739"/>
      <c r="I19" s="739"/>
      <c r="J19" s="739"/>
      <c r="K19" s="739" t="s">
        <v>370</v>
      </c>
      <c r="L19" s="739"/>
      <c r="M19" s="739"/>
      <c r="N19" s="739"/>
      <c r="O19" s="739"/>
      <c r="P19" s="739"/>
      <c r="Q19" s="739"/>
    </row>
    <row r="20" spans="1:17">
      <c r="A20" s="743"/>
      <c r="B20" s="743"/>
      <c r="C20" s="744"/>
      <c r="D20" s="411" t="s">
        <v>332</v>
      </c>
      <c r="E20" s="411" t="s">
        <v>333</v>
      </c>
      <c r="F20" s="411" t="s">
        <v>334</v>
      </c>
      <c r="G20" s="411" t="s">
        <v>335</v>
      </c>
      <c r="H20" s="411" t="s">
        <v>336</v>
      </c>
      <c r="I20" s="411" t="s">
        <v>337</v>
      </c>
      <c r="J20" s="411" t="s">
        <v>338</v>
      </c>
      <c r="K20" s="411" t="s">
        <v>332</v>
      </c>
      <c r="L20" s="411" t="s">
        <v>333</v>
      </c>
      <c r="M20" s="411" t="s">
        <v>334</v>
      </c>
      <c r="N20" s="411" t="s">
        <v>335</v>
      </c>
      <c r="O20" s="411" t="s">
        <v>336</v>
      </c>
      <c r="P20" s="411" t="s">
        <v>337</v>
      </c>
      <c r="Q20" s="411" t="s">
        <v>338</v>
      </c>
    </row>
    <row r="21" spans="1:17" ht="15">
      <c r="A21" s="736" t="s">
        <v>361</v>
      </c>
      <c r="B21" s="737"/>
      <c r="C21" s="737"/>
      <c r="D21" s="737"/>
      <c r="E21" s="737"/>
      <c r="F21" s="737"/>
      <c r="G21" s="737"/>
      <c r="H21" s="737"/>
      <c r="I21" s="737"/>
      <c r="J21" s="737"/>
      <c r="K21" s="737"/>
      <c r="L21" s="737"/>
      <c r="M21" s="737"/>
      <c r="N21" s="737"/>
      <c r="O21" s="737"/>
      <c r="P21" s="737"/>
      <c r="Q21" s="738"/>
    </row>
    <row r="22" spans="1:17">
      <c r="A22" s="434" t="s">
        <v>378</v>
      </c>
      <c r="B22" s="3" t="e">
        <f>'Mieszkalne emisja, energia'!B46</f>
        <v>#REF!</v>
      </c>
      <c r="C22" s="435" t="e">
        <f>B22/$B$50</f>
        <v>#REF!</v>
      </c>
      <c r="D22" s="410" t="e">
        <f>C22*$B$7*'Wskaźniki emisji, założenia'!B10/1000000</f>
        <v>#REF!</v>
      </c>
      <c r="E22" s="410" t="e">
        <f>C22*$B$7*'Wskaźniki emisji, założenia'!C10/1000000</f>
        <v>#REF!</v>
      </c>
      <c r="F22" s="410" t="e">
        <f>C22*$B$7*'Wskaźniki emisji, założenia'!D10/1000000</f>
        <v>#REF!</v>
      </c>
      <c r="G22" s="410" t="e">
        <f>C22*$B$7*'Wskaźniki emisji, założenia'!E10/1000000</f>
        <v>#REF!</v>
      </c>
      <c r="H22" s="410" t="e">
        <f>C22*$B$7*'Wskaźniki emisji, założenia'!F10/1000000</f>
        <v>#REF!</v>
      </c>
      <c r="I22" s="410" t="e">
        <f>C22*$B$7*'Wskaźniki emisji, założenia'!G10/1000000</f>
        <v>#REF!</v>
      </c>
      <c r="J22" s="410" t="e">
        <f>C22*$B$7*'Wskaźniki emisji, założenia'!H10/1000000</f>
        <v>#REF!</v>
      </c>
      <c r="K22" s="410" t="e">
        <f>'Wskaźniki emisji, założenia'!B21/1000000*$C$22*$B$8</f>
        <v>#REF!</v>
      </c>
      <c r="L22" s="410" t="e">
        <f>'Wskaźniki emisji, założenia'!C21/1000000*$C$22*$B$8</f>
        <v>#REF!</v>
      </c>
      <c r="M22" s="410" t="e">
        <f>'Wskaźniki emisji, założenia'!D21/1000000*$C$22*$B$8</f>
        <v>#REF!</v>
      </c>
      <c r="N22" s="410" t="e">
        <f>'Wskaźniki emisji, założenia'!E21/1000000*$C$22*$B$8</f>
        <v>#REF!</v>
      </c>
      <c r="O22" s="410" t="e">
        <f>'Wskaźniki emisji, założenia'!F21/1000000*$C$22*$B$8</f>
        <v>#REF!</v>
      </c>
      <c r="P22" s="410" t="e">
        <f>'Wskaźniki emisji, założenia'!G21/1000000*$C$22*$B$8</f>
        <v>#REF!</v>
      </c>
      <c r="Q22" s="410" t="e">
        <f>'Wskaźniki emisji, założenia'!H21/1000000*$C$22*$B$8</f>
        <v>#REF!</v>
      </c>
    </row>
    <row r="23" spans="1:17">
      <c r="A23" s="434" t="s">
        <v>379</v>
      </c>
      <c r="B23" s="3" t="e">
        <f>'Mieszkalne emisja, energia'!B47</f>
        <v>#REF!</v>
      </c>
      <c r="C23" s="435" t="e">
        <f t="shared" ref="C23:C31" si="1">B23/$B$50</f>
        <v>#REF!</v>
      </c>
      <c r="D23" s="410" t="e">
        <f>C23*$B$7*'Wskaźniki emisji, założenia'!B11/1000000</f>
        <v>#REF!</v>
      </c>
      <c r="E23" s="410" t="e">
        <f>C23*$B$7*'Wskaźniki emisji, założenia'!C11/1000000</f>
        <v>#REF!</v>
      </c>
      <c r="F23" s="410" t="e">
        <f>C23*$B$7*'Wskaźniki emisji, założenia'!D11/1000000</f>
        <v>#REF!</v>
      </c>
      <c r="G23" s="410" t="e">
        <f>C23*$B$7*'Wskaźniki emisji, założenia'!E11/1000000</f>
        <v>#REF!</v>
      </c>
      <c r="H23" s="410" t="e">
        <f>C23*$B$7*'Wskaźniki emisji, założenia'!F11/1000000</f>
        <v>#REF!</v>
      </c>
      <c r="I23" s="410" t="e">
        <f>C23*$B$7*'Wskaźniki emisji, założenia'!G11/1000000</f>
        <v>#REF!</v>
      </c>
      <c r="J23" s="410" t="e">
        <f>C23*$B$7*'Wskaźniki emisji, założenia'!H11/1000000</f>
        <v>#REF!</v>
      </c>
      <c r="K23" s="410" t="e">
        <f>'Wskaźniki emisji, założenia'!B22/1000000*$C$23*$B$8</f>
        <v>#REF!</v>
      </c>
      <c r="L23" s="410" t="e">
        <f>'Wskaźniki emisji, założenia'!C22/1000000*$C$23*$B$8</f>
        <v>#REF!</v>
      </c>
      <c r="M23" s="410" t="e">
        <f>'Wskaźniki emisji, założenia'!D22/1000000*$C$23*$B$8</f>
        <v>#REF!</v>
      </c>
      <c r="N23" s="410" t="e">
        <f>'Wskaźniki emisji, założenia'!E22/1000000*$C$23*$B$8</f>
        <v>#REF!</v>
      </c>
      <c r="O23" s="410" t="e">
        <f>'Wskaźniki emisji, założenia'!F22/1000000*$C$23*$B$8</f>
        <v>#REF!</v>
      </c>
      <c r="P23" s="410" t="e">
        <f>'Wskaźniki emisji, założenia'!G22/1000000*$C$23*$B$8</f>
        <v>#REF!</v>
      </c>
      <c r="Q23" s="410" t="e">
        <f>'Wskaźniki emisji, założenia'!H22/1000000*$C$23*$B$8</f>
        <v>#REF!</v>
      </c>
    </row>
    <row r="24" spans="1:17">
      <c r="A24" s="434" t="s">
        <v>380</v>
      </c>
      <c r="B24" s="3" t="e">
        <f>'Mieszkalne emisja, energia'!B48</f>
        <v>#REF!</v>
      </c>
      <c r="C24" s="435" t="e">
        <f t="shared" si="1"/>
        <v>#REF!</v>
      </c>
      <c r="D24" s="410" t="e">
        <f>C24*$B$7*'Wskaźniki emisji, założenia'!B12/1000000</f>
        <v>#REF!</v>
      </c>
      <c r="E24" s="410" t="e">
        <f>C24*$B$7*'Wskaźniki emisji, założenia'!C12/1000000</f>
        <v>#REF!</v>
      </c>
      <c r="F24" s="410" t="e">
        <f>C24*$B$7*'Wskaźniki emisji, założenia'!D12/1000000</f>
        <v>#REF!</v>
      </c>
      <c r="G24" s="410" t="e">
        <f>C24*$B$7*'Wskaźniki emisji, założenia'!E12/1000000</f>
        <v>#REF!</v>
      </c>
      <c r="H24" s="410" t="e">
        <f>C24*$B$7*'Wskaźniki emisji, założenia'!F12/1000000</f>
        <v>#REF!</v>
      </c>
      <c r="I24" s="410" t="e">
        <f>C24*$B$7*'Wskaźniki emisji, założenia'!G12/1000000</f>
        <v>#REF!</v>
      </c>
      <c r="J24" s="410" t="e">
        <f>C24*$B$7*'Wskaźniki emisji, założenia'!H12/1000000</f>
        <v>#REF!</v>
      </c>
      <c r="K24" s="410" t="e">
        <f>'Wskaźniki emisji, założenia'!B23/1000000*$C$24*$B$8</f>
        <v>#REF!</v>
      </c>
      <c r="L24" s="410" t="e">
        <f>'Wskaźniki emisji, założenia'!C23/1000000*$C$24*$B$8</f>
        <v>#REF!</v>
      </c>
      <c r="M24" s="410" t="e">
        <f>'Wskaźniki emisji, założenia'!D23/1000000*$C$24*$B$8</f>
        <v>#REF!</v>
      </c>
      <c r="N24" s="410" t="e">
        <f>'Wskaźniki emisji, założenia'!E23/1000000*$C$24*$B$8</f>
        <v>#REF!</v>
      </c>
      <c r="O24" s="410" t="e">
        <f>'Wskaźniki emisji, założenia'!F23/1000000*$C$24*$B$8</f>
        <v>#REF!</v>
      </c>
      <c r="P24" s="410" t="e">
        <f>'Wskaźniki emisji, założenia'!G23/1000000*$C$24*$B$8</f>
        <v>#REF!</v>
      </c>
      <c r="Q24" s="410" t="e">
        <f>'Wskaźniki emisji, założenia'!H23/1000000*$C$24*$B$8</f>
        <v>#REF!</v>
      </c>
    </row>
    <row r="25" spans="1:17">
      <c r="A25" s="434" t="s">
        <v>381</v>
      </c>
      <c r="B25" s="3" t="e">
        <f>'Mieszkalne emisja, energia'!B49</f>
        <v>#REF!</v>
      </c>
      <c r="C25" s="435" t="e">
        <f t="shared" si="1"/>
        <v>#REF!</v>
      </c>
      <c r="D25" s="410" t="e">
        <f>C25*$B$7*'Wskaźniki emisji, założenia'!B13/1000000</f>
        <v>#REF!</v>
      </c>
      <c r="E25" s="410" t="e">
        <f>C25*$B$7*'Wskaźniki emisji, założenia'!C13/1000000</f>
        <v>#REF!</v>
      </c>
      <c r="F25" s="410" t="e">
        <f>C25*$B$7*'Wskaźniki emisji, założenia'!D13/1000000</f>
        <v>#REF!</v>
      </c>
      <c r="G25" s="410" t="e">
        <f>C25*$B$7*'Wskaźniki emisji, założenia'!E13/1000000</f>
        <v>#REF!</v>
      </c>
      <c r="H25" s="410" t="e">
        <f>C25*$B$7*'Wskaźniki emisji, założenia'!F13/1000000</f>
        <v>#REF!</v>
      </c>
      <c r="I25" s="410" t="e">
        <f>C25*$B$7*'Wskaźniki emisji, założenia'!G13/1000000</f>
        <v>#REF!</v>
      </c>
      <c r="J25" s="410" t="e">
        <f>C25*$B$7*'Wskaźniki emisji, założenia'!H13/1000000</f>
        <v>#REF!</v>
      </c>
      <c r="K25" s="410" t="e">
        <f>'Wskaźniki emisji, założenia'!B24/1000000*$C$25*$B$8</f>
        <v>#REF!</v>
      </c>
      <c r="L25" s="410" t="e">
        <f>'Wskaźniki emisji, założenia'!C24/1000000*$C$25*$B$8</f>
        <v>#REF!</v>
      </c>
      <c r="M25" s="410" t="e">
        <f>'Wskaźniki emisji, założenia'!D24/1000000*$C$25*$B$8</f>
        <v>#REF!</v>
      </c>
      <c r="N25" s="410" t="e">
        <f>'Wskaźniki emisji, założenia'!E24/1000000*$C$25*$B$8</f>
        <v>#REF!</v>
      </c>
      <c r="O25" s="410" t="e">
        <f>'Wskaźniki emisji, założenia'!F24/1000000*$C$25*$B$8</f>
        <v>#REF!</v>
      </c>
      <c r="P25" s="410" t="e">
        <f>'Wskaźniki emisji, założenia'!G24/1000000*$C$25*$B$8</f>
        <v>#REF!</v>
      </c>
      <c r="Q25" s="410" t="e">
        <f>'Wskaźniki emisji, założenia'!H24/1000000*$C$25*$B$8</f>
        <v>#REF!</v>
      </c>
    </row>
    <row r="26" spans="1:17">
      <c r="A26" s="434" t="s">
        <v>382</v>
      </c>
      <c r="B26" s="3" t="e">
        <f>'Mieszkalne emisja, energia'!B50</f>
        <v>#REF!</v>
      </c>
      <c r="C26" s="435" t="e">
        <f t="shared" si="1"/>
        <v>#REF!</v>
      </c>
      <c r="D26" s="410" t="e">
        <f>C26*$B$7*'Wskaźniki emisji, założenia'!B14/1000000</f>
        <v>#REF!</v>
      </c>
      <c r="E26" s="410" t="e">
        <f>C26*$B$7*'Wskaźniki emisji, założenia'!C14/1000000</f>
        <v>#REF!</v>
      </c>
      <c r="F26" s="410" t="e">
        <f>C26*$B$7*'Wskaźniki emisji, założenia'!D14/1000000</f>
        <v>#REF!</v>
      </c>
      <c r="G26" s="410" t="e">
        <f>C26*$B$7*'Wskaźniki emisji, założenia'!E14/1000000</f>
        <v>#REF!</v>
      </c>
      <c r="H26" s="410" t="e">
        <f>C26*$B$7*'Wskaźniki emisji, założenia'!F14/1000000</f>
        <v>#REF!</v>
      </c>
      <c r="I26" s="410" t="e">
        <f>C26*$B$7*'Wskaźniki emisji, założenia'!G14/1000000</f>
        <v>#REF!</v>
      </c>
      <c r="J26" s="410" t="e">
        <f>C26*$B$7*'Wskaźniki emisji, założenia'!H14/1000000</f>
        <v>#REF!</v>
      </c>
      <c r="K26" s="410" t="e">
        <f>'Wskaźniki emisji, założenia'!B25/1000000*$C$26*$B$8</f>
        <v>#REF!</v>
      </c>
      <c r="L26" s="410" t="e">
        <f>'Wskaźniki emisji, założenia'!C25/1000000*$C$26*$B$8</f>
        <v>#REF!</v>
      </c>
      <c r="M26" s="410" t="e">
        <f>'Wskaźniki emisji, założenia'!D25/1000000*$C$26*$B$8</f>
        <v>#REF!</v>
      </c>
      <c r="N26" s="410" t="e">
        <f>'Wskaźniki emisji, założenia'!E25/1000000*$C$26*$B$8</f>
        <v>#REF!</v>
      </c>
      <c r="O26" s="410" t="e">
        <f>'Wskaźniki emisji, założenia'!F25/1000000*$C$26*$B$8</f>
        <v>#REF!</v>
      </c>
      <c r="P26" s="410" t="e">
        <f>'Wskaźniki emisji, założenia'!G25/1000000*$C$26*$B$8</f>
        <v>#REF!</v>
      </c>
      <c r="Q26" s="410" t="e">
        <f>'Wskaźniki emisji, założenia'!H25/1000000*$C$26*$B$8</f>
        <v>#REF!</v>
      </c>
    </row>
    <row r="27" spans="1:17">
      <c r="A27" s="434" t="s">
        <v>383</v>
      </c>
      <c r="B27" s="3" t="e">
        <f>'Mieszkalne emisja, energia'!B51</f>
        <v>#REF!</v>
      </c>
      <c r="C27" s="435" t="e">
        <f t="shared" si="1"/>
        <v>#REF!</v>
      </c>
      <c r="D27" s="410" t="e">
        <f>C27*$B$7*'Wskaźniki emisji, założenia'!B15/1000000</f>
        <v>#REF!</v>
      </c>
      <c r="E27" s="410" t="e">
        <f>C27*$B$7*'Wskaźniki emisji, założenia'!C15/1000000</f>
        <v>#REF!</v>
      </c>
      <c r="F27" s="410" t="e">
        <f>C27*$B$7*'Wskaźniki emisji, założenia'!D15/1000000</f>
        <v>#REF!</v>
      </c>
      <c r="G27" s="410" t="e">
        <f>C27*$B$7*'Wskaźniki emisji, założenia'!E15/1000000</f>
        <v>#REF!</v>
      </c>
      <c r="H27" s="410" t="e">
        <f>C27*$B$7*'Wskaźniki emisji, założenia'!F15/1000000</f>
        <v>#REF!</v>
      </c>
      <c r="I27" s="410" t="e">
        <f>C27*$B$7*'Wskaźniki emisji, założenia'!G15/1000000</f>
        <v>#REF!</v>
      </c>
      <c r="J27" s="410" t="e">
        <f>C27*$B$7*'Wskaźniki emisji, założenia'!H15/1000000</f>
        <v>#REF!</v>
      </c>
      <c r="K27" s="410" t="e">
        <f>'Wskaźniki emisji, założenia'!B26/1000000*$C$27*$B$8</f>
        <v>#REF!</v>
      </c>
      <c r="L27" s="410" t="e">
        <f>'Wskaźniki emisji, założenia'!C26/1000000*$C$27*$B$8</f>
        <v>#REF!</v>
      </c>
      <c r="M27" s="410" t="e">
        <f>'Wskaźniki emisji, założenia'!D26/1000000*$C$27*$B$8</f>
        <v>#REF!</v>
      </c>
      <c r="N27" s="410" t="e">
        <f>'Wskaźniki emisji, założenia'!E26/1000000*$C$27*$B$8</f>
        <v>#REF!</v>
      </c>
      <c r="O27" s="410" t="e">
        <f>'Wskaźniki emisji, założenia'!F26/1000000*$C$27*$B$8</f>
        <v>#REF!</v>
      </c>
      <c r="P27" s="410" t="e">
        <f>'Wskaźniki emisji, założenia'!G26/1000000*$C$27*$B$8</f>
        <v>#REF!</v>
      </c>
      <c r="Q27" s="410" t="e">
        <f>'Wskaźniki emisji, założenia'!H26/1000000*$C$27*$B$8</f>
        <v>#REF!</v>
      </c>
    </row>
    <row r="28" spans="1:17">
      <c r="A28" s="434" t="s">
        <v>387</v>
      </c>
      <c r="B28" s="3" t="e">
        <f>'Mieszkalne emisja, energia'!B52</f>
        <v>#REF!</v>
      </c>
      <c r="C28" s="435" t="e">
        <f t="shared" si="1"/>
        <v>#REF!</v>
      </c>
      <c r="D28" s="410" t="e">
        <f>C28*$B$7*'Wskaźniki emisji, założenia'!B16/1000000</f>
        <v>#REF!</v>
      </c>
      <c r="E28" s="410" t="e">
        <f>C28*$B$7*'Wskaźniki emisji, założenia'!C16/1000000</f>
        <v>#REF!</v>
      </c>
      <c r="F28" s="410" t="e">
        <f>C28*$B$7*'Wskaźniki emisji, założenia'!D16/1000000</f>
        <v>#REF!</v>
      </c>
      <c r="G28" s="410" t="e">
        <f>C28*$B$7*'Wskaźniki emisji, założenia'!E16/1000000</f>
        <v>#REF!</v>
      </c>
      <c r="H28" s="410" t="e">
        <f>C28*$B$7*'Wskaźniki emisji, założenia'!F16/1000000</f>
        <v>#REF!</v>
      </c>
      <c r="I28" s="410" t="e">
        <f>C28*$B$7*'Wskaźniki emisji, założenia'!G16/1000000</f>
        <v>#REF!</v>
      </c>
      <c r="J28" s="410" t="e">
        <f>C28*$B$7*'Wskaźniki emisji, założenia'!H16/1000000</f>
        <v>#REF!</v>
      </c>
      <c r="K28" s="410" t="e">
        <f>'Wskaźniki emisji, założenia'!B27/1000000*$C$28*$B$8</f>
        <v>#REF!</v>
      </c>
      <c r="L28" s="410" t="e">
        <f>'Wskaźniki emisji, założenia'!C27/1000000*$C$28*$B$8</f>
        <v>#REF!</v>
      </c>
      <c r="M28" s="410" t="e">
        <f>'Wskaźniki emisji, założenia'!D27/1000000*$C$28*$B$8</f>
        <v>#REF!</v>
      </c>
      <c r="N28" s="410" t="e">
        <f>'Wskaźniki emisji, założenia'!E27/1000000*$C$28*$B$8</f>
        <v>#REF!</v>
      </c>
      <c r="O28" s="410" t="e">
        <f>'Wskaźniki emisji, założenia'!F27/1000000*$C$28*$B$8</f>
        <v>#REF!</v>
      </c>
      <c r="P28" s="410" t="e">
        <f>'Wskaźniki emisji, założenia'!G27/1000000*$C$28*$B$8</f>
        <v>#REF!</v>
      </c>
      <c r="Q28" s="410" t="e">
        <f>'Wskaźniki emisji, założenia'!H27/1000000*$C$28*$B$8</f>
        <v>#REF!</v>
      </c>
    </row>
    <row r="29" spans="1:17">
      <c r="A29" s="434" t="s">
        <v>384</v>
      </c>
      <c r="B29" s="3" t="e">
        <f>'Mieszkalne emisja, energia'!B53</f>
        <v>#REF!</v>
      </c>
      <c r="C29" s="435" t="e">
        <f t="shared" si="1"/>
        <v>#REF!</v>
      </c>
      <c r="D29" s="410" t="e">
        <f>C29*$B$7*'Wskaźniki emisji, założenia'!B17/1000000</f>
        <v>#REF!</v>
      </c>
      <c r="E29" s="410" t="e">
        <f>C29*$B$7*'Wskaźniki emisji, założenia'!C17/1000000</f>
        <v>#REF!</v>
      </c>
      <c r="F29" s="410" t="e">
        <f>C29*$B$7*'Wskaźniki emisji, założenia'!D17/1000000</f>
        <v>#REF!</v>
      </c>
      <c r="G29" s="410" t="e">
        <f>C29*$B$7*'Wskaźniki emisji, założenia'!E17/1000000</f>
        <v>#REF!</v>
      </c>
      <c r="H29" s="410" t="e">
        <f>C29*$B$7*'Wskaźniki emisji, założenia'!F17/1000000</f>
        <v>#REF!</v>
      </c>
      <c r="I29" s="410" t="e">
        <f>C29*$B$7*'Wskaźniki emisji, założenia'!G17/1000000</f>
        <v>#REF!</v>
      </c>
      <c r="J29" s="410" t="e">
        <f>C29*$B$7*'Wskaźniki emisji, założenia'!H17/1000000</f>
        <v>#REF!</v>
      </c>
      <c r="K29" s="410" t="e">
        <f>'Wskaźniki emisji, założenia'!B28/1000000*$C$29*$B$8</f>
        <v>#REF!</v>
      </c>
      <c r="L29" s="410" t="e">
        <f>'Wskaźniki emisji, założenia'!C28/1000000*$C$29*$B$8</f>
        <v>#REF!</v>
      </c>
      <c r="M29" s="410" t="e">
        <f>'Wskaźniki emisji, założenia'!D28/1000000*$C$29*$B$8</f>
        <v>#REF!</v>
      </c>
      <c r="N29" s="410" t="e">
        <f>'Wskaźniki emisji, założenia'!E28/1000000*$C$29*$B$8</f>
        <v>#REF!</v>
      </c>
      <c r="O29" s="410" t="e">
        <f>'Wskaźniki emisji, założenia'!F28/1000000*$C$29*$B$8</f>
        <v>#REF!</v>
      </c>
      <c r="P29" s="410" t="e">
        <f>'Wskaźniki emisji, założenia'!G28/1000000*$C$29*$B$8</f>
        <v>#REF!</v>
      </c>
      <c r="Q29" s="410" t="e">
        <f>'Wskaźniki emisji, założenia'!H28/1000000*$C$29*$B$8</f>
        <v>#REF!</v>
      </c>
    </row>
    <row r="30" spans="1:17">
      <c r="A30" s="434" t="s">
        <v>385</v>
      </c>
      <c r="B30" s="3" t="e">
        <f>'Mieszkalne emisja, energia'!B54</f>
        <v>#REF!</v>
      </c>
      <c r="C30" s="435" t="e">
        <f t="shared" si="1"/>
        <v>#REF!</v>
      </c>
      <c r="D30" s="410" t="e">
        <f>C30*$B$7*'Wskaźniki emisji, założenia'!B18/1000000</f>
        <v>#REF!</v>
      </c>
      <c r="E30" s="410" t="e">
        <f>C30*$B$7*'Wskaźniki emisji, założenia'!C18/1000000</f>
        <v>#REF!</v>
      </c>
      <c r="F30" s="410" t="e">
        <f>C30*$B$7*'Wskaźniki emisji, założenia'!D18/1000000</f>
        <v>#REF!</v>
      </c>
      <c r="G30" s="410" t="e">
        <f>C30*$B$7*'Wskaźniki emisji, założenia'!E18/1000000</f>
        <v>#REF!</v>
      </c>
      <c r="H30" s="410" t="e">
        <f>C30*$B$7*'Wskaźniki emisji, założenia'!F18/1000000</f>
        <v>#REF!</v>
      </c>
      <c r="I30" s="410" t="e">
        <f>C30*$B$7*'Wskaźniki emisji, założenia'!G18/1000000</f>
        <v>#REF!</v>
      </c>
      <c r="J30" s="410" t="e">
        <f>C30*$B$7*'Wskaźniki emisji, założenia'!H18/1000000</f>
        <v>#REF!</v>
      </c>
      <c r="K30" s="410" t="e">
        <f>'Wskaźniki emisji, założenia'!B29/1000000*$C$30*$B$8</f>
        <v>#REF!</v>
      </c>
      <c r="L30" s="410" t="e">
        <f>'Wskaźniki emisji, założenia'!C29/1000000*$C$30*$B$8</f>
        <v>#REF!</v>
      </c>
      <c r="M30" s="410" t="e">
        <f>'Wskaźniki emisji, założenia'!D29/1000000*$C$30*$B$8</f>
        <v>#REF!</v>
      </c>
      <c r="N30" s="410" t="e">
        <f>'Wskaźniki emisji, założenia'!E29/1000000*$C$30*$B$8</f>
        <v>#REF!</v>
      </c>
      <c r="O30" s="410" t="e">
        <f>'Wskaźniki emisji, założenia'!F29/1000000*$C$30*$B$8</f>
        <v>#REF!</v>
      </c>
      <c r="P30" s="410" t="e">
        <f>'Wskaźniki emisji, założenia'!G29/1000000*$C$30*$B$8</f>
        <v>#REF!</v>
      </c>
      <c r="Q30" s="410" t="e">
        <f>'Wskaźniki emisji, założenia'!H29/1000000*$C$30*$B$8</f>
        <v>#REF!</v>
      </c>
    </row>
    <row r="31" spans="1:17">
      <c r="A31" s="434" t="s">
        <v>386</v>
      </c>
      <c r="B31" s="3" t="e">
        <f>'Mieszkalne emisja, energia'!B55</f>
        <v>#REF!</v>
      </c>
      <c r="C31" s="435" t="e">
        <f t="shared" si="1"/>
        <v>#REF!</v>
      </c>
      <c r="D31" s="410" t="e">
        <f>C31*$B$7*'Wskaźniki emisji, założenia'!B19/1000000</f>
        <v>#REF!</v>
      </c>
      <c r="E31" s="410" t="e">
        <f>C31*$B$7*'Wskaźniki emisji, założenia'!C19/1000000</f>
        <v>#REF!</v>
      </c>
      <c r="F31" s="410" t="e">
        <f>C31*$B$7*'Wskaźniki emisji, założenia'!D19/1000000</f>
        <v>#REF!</v>
      </c>
      <c r="G31" s="410" t="e">
        <f>C31*$B$7*'Wskaźniki emisji, założenia'!E19/1000000</f>
        <v>#REF!</v>
      </c>
      <c r="H31" s="410" t="e">
        <f>C31*$B$7*'Wskaźniki emisji, założenia'!F19/1000000</f>
        <v>#REF!</v>
      </c>
      <c r="I31" s="410" t="e">
        <f>C31*$B$7*'Wskaźniki emisji, założenia'!G19/1000000</f>
        <v>#REF!</v>
      </c>
      <c r="J31" s="410" t="e">
        <f>C31*$B$7*'Wskaźniki emisji, założenia'!H19/1000000</f>
        <v>#REF!</v>
      </c>
      <c r="K31" s="410" t="e">
        <f>'Wskaźniki emisji, założenia'!B30/1000000*$C$31*$B$8</f>
        <v>#REF!</v>
      </c>
      <c r="L31" s="410" t="e">
        <f>'Wskaźniki emisji, założenia'!C30/1000000*$C$31*$B$8</f>
        <v>#REF!</v>
      </c>
      <c r="M31" s="410" t="e">
        <f>'Wskaźniki emisji, założenia'!D30/1000000*$C$31*$B$8</f>
        <v>#REF!</v>
      </c>
      <c r="N31" s="410" t="e">
        <f>'Wskaźniki emisji, założenia'!E30/1000000*$C$31*$B$8</f>
        <v>#REF!</v>
      </c>
      <c r="O31" s="410" t="e">
        <f>'Wskaźniki emisji, założenia'!F30/1000000*$C$31*$B$8</f>
        <v>#REF!</v>
      </c>
      <c r="P31" s="410" t="e">
        <f>'Wskaźniki emisji, założenia'!G30/1000000*$C$31*$B$8</f>
        <v>#REF!</v>
      </c>
      <c r="Q31" s="410" t="e">
        <f>'Wskaźniki emisji, założenia'!H30/1000000*$C$31*$B$8</f>
        <v>#REF!</v>
      </c>
    </row>
    <row r="32" spans="1:17" ht="15">
      <c r="A32" s="736" t="s">
        <v>360</v>
      </c>
      <c r="B32" s="737"/>
      <c r="C32" s="737"/>
      <c r="D32" s="737"/>
      <c r="E32" s="737"/>
      <c r="F32" s="737"/>
      <c r="G32" s="737"/>
      <c r="H32" s="737"/>
      <c r="I32" s="737"/>
      <c r="J32" s="737"/>
      <c r="K32" s="737"/>
      <c r="L32" s="737"/>
      <c r="M32" s="737"/>
      <c r="N32" s="737"/>
      <c r="O32" s="737"/>
      <c r="P32" s="737"/>
      <c r="Q32" s="738"/>
    </row>
    <row r="33" spans="1:18">
      <c r="A33" s="408" t="s">
        <v>371</v>
      </c>
      <c r="B33" s="3" t="e">
        <f>'Mieszkalne emisja, energia'!B57</f>
        <v>#REF!</v>
      </c>
      <c r="C33" s="435" t="e">
        <f>B33/$B$50</f>
        <v>#REF!</v>
      </c>
      <c r="D33" s="410" t="e">
        <f>'Wskaźniki emisji, założenia'!B32*$C$33*$B$7/1000000</f>
        <v>#REF!</v>
      </c>
      <c r="E33" s="410" t="e">
        <f>'Wskaźniki emisji, założenia'!C32*$C$33*$B$7/1000000</f>
        <v>#REF!</v>
      </c>
      <c r="F33" s="410" t="e">
        <f>'Wskaźniki emisji, założenia'!D32*$C$33*$B$7/1000000</f>
        <v>#REF!</v>
      </c>
      <c r="G33" s="410" t="e">
        <f>'Wskaźniki emisji, założenia'!E32*$C$33*$B$7/1000000</f>
        <v>#REF!</v>
      </c>
      <c r="H33" s="410" t="e">
        <f>'Wskaźniki emisji, założenia'!F32*$C$33*$B$7/1000000</f>
        <v>#REF!</v>
      </c>
      <c r="I33" s="410" t="e">
        <f>'Wskaźniki emisji, założenia'!G32*$C$33*$B$7/1000000</f>
        <v>#REF!</v>
      </c>
      <c r="J33" s="410" t="e">
        <f>'Wskaźniki emisji, założenia'!H32*$C$33*$B$7/1000000</f>
        <v>#REF!</v>
      </c>
      <c r="K33" s="410">
        <v>0</v>
      </c>
      <c r="L33" s="410">
        <v>0</v>
      </c>
      <c r="M33" s="410">
        <v>0</v>
      </c>
      <c r="N33" s="410">
        <v>0</v>
      </c>
      <c r="O33" s="410">
        <v>0</v>
      </c>
      <c r="P33" s="410">
        <v>0</v>
      </c>
      <c r="Q33" s="410">
        <v>0</v>
      </c>
    </row>
    <row r="34" spans="1:18">
      <c r="A34" s="408" t="s">
        <v>372</v>
      </c>
      <c r="B34" s="3" t="e">
        <f>'Mieszkalne emisja, energia'!B58</f>
        <v>#REF!</v>
      </c>
      <c r="C34" s="435" t="e">
        <f>B34/$B$50</f>
        <v>#REF!</v>
      </c>
      <c r="D34" s="410" t="e">
        <f>'Wskaźniki emisji, założenia'!B33*$C$34*$B$7/1000000</f>
        <v>#REF!</v>
      </c>
      <c r="E34" s="410" t="e">
        <f>'Wskaźniki emisji, założenia'!C33*$C$34*$B$7/1000000</f>
        <v>#REF!</v>
      </c>
      <c r="F34" s="410" t="e">
        <f>'Wskaźniki emisji, założenia'!D33*$C$34*$B$7/1000000</f>
        <v>#REF!</v>
      </c>
      <c r="G34" s="410" t="e">
        <f>'Wskaźniki emisji, założenia'!E33*$C$34*$B$7/1000000</f>
        <v>#REF!</v>
      </c>
      <c r="H34" s="410" t="e">
        <f>'Wskaźniki emisji, założenia'!F33*$C$34*$B$7/1000000</f>
        <v>#REF!</v>
      </c>
      <c r="I34" s="410" t="e">
        <f>'Wskaźniki emisji, założenia'!G33*$C$34*$B$7/1000000</f>
        <v>#REF!</v>
      </c>
      <c r="J34" s="410" t="e">
        <f>'Wskaźniki emisji, założenia'!H33*$C$34*$B$7/1000000</f>
        <v>#REF!</v>
      </c>
      <c r="K34" s="410">
        <v>0</v>
      </c>
      <c r="L34" s="410">
        <v>0</v>
      </c>
      <c r="M34" s="410">
        <v>0</v>
      </c>
      <c r="N34" s="410">
        <v>0</v>
      </c>
      <c r="O34" s="410">
        <v>0</v>
      </c>
      <c r="P34" s="410">
        <v>0</v>
      </c>
      <c r="Q34" s="410">
        <v>0</v>
      </c>
    </row>
    <row r="35" spans="1:18" ht="15">
      <c r="A35" s="736" t="s">
        <v>392</v>
      </c>
      <c r="B35" s="737"/>
      <c r="C35" s="737"/>
      <c r="D35" s="737"/>
      <c r="E35" s="737"/>
      <c r="F35" s="737"/>
      <c r="G35" s="737"/>
      <c r="H35" s="737"/>
      <c r="I35" s="737"/>
      <c r="J35" s="737"/>
      <c r="K35" s="737"/>
      <c r="L35" s="737"/>
      <c r="M35" s="737"/>
      <c r="N35" s="737"/>
      <c r="O35" s="737"/>
      <c r="P35" s="737"/>
      <c r="Q35" s="738"/>
    </row>
    <row r="36" spans="1:18">
      <c r="A36" s="408" t="s">
        <v>373</v>
      </c>
      <c r="B36" s="3" t="e">
        <f>'Mieszkalne emisja, energia'!B60</f>
        <v>#REF!</v>
      </c>
      <c r="C36" s="435" t="e">
        <f>B36/$B$50</f>
        <v>#REF!</v>
      </c>
      <c r="D36" s="410" t="e">
        <f>'Wskaźniki emisji, założenia'!B37/1000000*$C$36*$B$7</f>
        <v>#REF!</v>
      </c>
      <c r="E36" s="410" t="e">
        <f>'Wskaźniki emisji, założenia'!C37/1000000*$C$36*$B$7</f>
        <v>#REF!</v>
      </c>
      <c r="F36" s="410" t="e">
        <f>'Wskaźniki emisji, założenia'!D37/1000000*$C$36*$B$7</f>
        <v>#REF!</v>
      </c>
      <c r="G36" s="410" t="e">
        <f>'Wskaźniki emisji, założenia'!E37/1000000*$C$36*$B$7</f>
        <v>#REF!</v>
      </c>
      <c r="H36" s="410" t="e">
        <f>'Wskaźniki emisji, założenia'!F37/1000000*$C$36*$B$7</f>
        <v>#REF!</v>
      </c>
      <c r="I36" s="410" t="e">
        <f>'Wskaźniki emisji, założenia'!G37/1000000*$C$36*$B$7</f>
        <v>#REF!</v>
      </c>
      <c r="J36" s="410" t="e">
        <f>'Wskaźniki emisji, założenia'!H37/1000000*$C$36*$B$7</f>
        <v>#REF!</v>
      </c>
      <c r="K36" s="410" t="e">
        <f>'Wskaźniki emisji, założenia'!B42/1000000*$B$8*$C$36</f>
        <v>#REF!</v>
      </c>
      <c r="L36" s="410" t="e">
        <f>'Wskaźniki emisji, założenia'!C42/1000000*$B$8*$C$36</f>
        <v>#REF!</v>
      </c>
      <c r="M36" s="410" t="e">
        <f>'Wskaźniki emisji, założenia'!D42/1000000*$B$8*$C$36</f>
        <v>#REF!</v>
      </c>
      <c r="N36" s="410" t="e">
        <f>'Wskaźniki emisji, założenia'!E42/1000000*$B$8*$C$36</f>
        <v>#REF!</v>
      </c>
      <c r="O36" s="410" t="e">
        <f>'Wskaźniki emisji, założenia'!F42/1000000*$B$8*$C$36</f>
        <v>#REF!</v>
      </c>
      <c r="P36" s="410" t="e">
        <f>'Wskaźniki emisji, założenia'!G42/1000000*$B$8*$C$36</f>
        <v>#REF!</v>
      </c>
      <c r="Q36" s="410" t="e">
        <f>'Wskaźniki emisji, założenia'!H42/1000000*$B$8*$C$36</f>
        <v>#REF!</v>
      </c>
    </row>
    <row r="37" spans="1:18">
      <c r="A37" s="408" t="s">
        <v>374</v>
      </c>
      <c r="B37" s="3" t="e">
        <f>'Mieszkalne emisja, energia'!B61</f>
        <v>#REF!</v>
      </c>
      <c r="C37" s="435" t="e">
        <f>B37/$B$50</f>
        <v>#REF!</v>
      </c>
      <c r="D37" s="410" t="e">
        <f>'Wskaźniki emisji, założenia'!B38/1000000*$C$37*$B$7</f>
        <v>#REF!</v>
      </c>
      <c r="E37" s="410" t="e">
        <f>'Wskaźniki emisji, założenia'!C38/1000000*$C$37*$B$7</f>
        <v>#REF!</v>
      </c>
      <c r="F37" s="410" t="e">
        <f>'Wskaźniki emisji, założenia'!D38/1000000*$C$37*$B$7</f>
        <v>#REF!</v>
      </c>
      <c r="G37" s="410" t="e">
        <f>'Wskaźniki emisji, założenia'!E38/1000000*$C$37*$B$7</f>
        <v>#REF!</v>
      </c>
      <c r="H37" s="410" t="e">
        <f>'Wskaźniki emisji, założenia'!F38/1000000*$C$37*$B$7</f>
        <v>#REF!</v>
      </c>
      <c r="I37" s="410" t="e">
        <f>'Wskaźniki emisji, założenia'!G38/1000000*$C$37*$B$7</f>
        <v>#REF!</v>
      </c>
      <c r="J37" s="410" t="e">
        <f>'Wskaźniki emisji, założenia'!H38/1000000*$C$37*$B$7</f>
        <v>#REF!</v>
      </c>
      <c r="K37" s="410" t="e">
        <f>'Wskaźniki emisji, założenia'!B43/1000000*$B$8*$C$37</f>
        <v>#REF!</v>
      </c>
      <c r="L37" s="410" t="e">
        <f>'Wskaźniki emisji, założenia'!C43/1000000*$B$8*$C$37</f>
        <v>#REF!</v>
      </c>
      <c r="M37" s="410" t="e">
        <f>'Wskaźniki emisji, założenia'!D43/1000000*$B$8*$C$37</f>
        <v>#REF!</v>
      </c>
      <c r="N37" s="410" t="e">
        <f>'Wskaźniki emisji, założenia'!E43/1000000*$B$8*$C$37</f>
        <v>#REF!</v>
      </c>
      <c r="O37" s="410" t="e">
        <f>'Wskaźniki emisji, założenia'!F43/1000000*$B$8*$C$37</f>
        <v>#REF!</v>
      </c>
      <c r="P37" s="410" t="e">
        <f>'Wskaźniki emisji, założenia'!G43/1000000*$B$8*$C$37</f>
        <v>#REF!</v>
      </c>
      <c r="Q37" s="410" t="e">
        <f>'Wskaźniki emisji, założenia'!H43/1000000*$B$8*$C$37</f>
        <v>#REF!</v>
      </c>
    </row>
    <row r="38" spans="1:18" ht="15">
      <c r="A38" s="736" t="s">
        <v>316</v>
      </c>
      <c r="B38" s="737"/>
      <c r="C38" s="737"/>
      <c r="D38" s="737"/>
      <c r="E38" s="737"/>
      <c r="F38" s="737"/>
      <c r="G38" s="737"/>
      <c r="H38" s="737"/>
      <c r="I38" s="737"/>
      <c r="J38" s="737"/>
      <c r="K38" s="737"/>
      <c r="L38" s="737"/>
      <c r="M38" s="737"/>
      <c r="N38" s="737"/>
      <c r="O38" s="737"/>
      <c r="P38" s="737"/>
      <c r="Q38" s="738"/>
    </row>
    <row r="39" spans="1:18">
      <c r="A39" s="434" t="s">
        <v>375</v>
      </c>
      <c r="B39" s="3" t="e">
        <f>'Mieszkalne emisja, energia'!B63</f>
        <v>#REF!</v>
      </c>
      <c r="C39" s="435" t="e">
        <f>B39/$B$50</f>
        <v>#REF!</v>
      </c>
      <c r="D39" s="410">
        <v>0</v>
      </c>
      <c r="E39" s="410">
        <v>0</v>
      </c>
      <c r="F39" s="410">
        <v>0</v>
      </c>
      <c r="G39" s="410">
        <v>0</v>
      </c>
      <c r="H39" s="410">
        <v>0</v>
      </c>
      <c r="I39" s="410">
        <v>0</v>
      </c>
      <c r="J39" s="410">
        <v>0</v>
      </c>
      <c r="K39" s="410" t="e">
        <f>'Wskaźniki emisji, założenia'!B47*$C$39*$B$8/1000000</f>
        <v>#REF!</v>
      </c>
      <c r="L39" s="410" t="e">
        <f>'Wskaźniki emisji, założenia'!C47*$C$39*$B$8/1000000</f>
        <v>#REF!</v>
      </c>
      <c r="M39" s="410" t="e">
        <f>'Wskaźniki emisji, założenia'!D47*$C$39*$B$8/1000000</f>
        <v>#REF!</v>
      </c>
      <c r="N39" s="410" t="e">
        <f>'Wskaźniki emisji, założenia'!E47*$C$39*$B$8/1000000</f>
        <v>#REF!</v>
      </c>
      <c r="O39" s="410" t="e">
        <f>'Wskaźniki emisji, założenia'!F47*$C$39*$B$8/1000000</f>
        <v>#REF!</v>
      </c>
      <c r="P39" s="410" t="e">
        <f>'Wskaźniki emisji, założenia'!G47*$C$39*$B$8/1000000</f>
        <v>#REF!</v>
      </c>
      <c r="Q39" s="410" t="e">
        <f>'Wskaźniki emisji, założenia'!H47*$C$39*$B$8/1000000</f>
        <v>#REF!</v>
      </c>
    </row>
    <row r="40" spans="1:18">
      <c r="A40" s="434" t="s">
        <v>390</v>
      </c>
      <c r="B40" s="3" t="e">
        <f>'Mieszkalne emisja, energia'!B64</f>
        <v>#REF!</v>
      </c>
      <c r="C40" s="435" t="e">
        <f>B40/$B$50</f>
        <v>#REF!</v>
      </c>
      <c r="D40" s="410">
        <v>0</v>
      </c>
      <c r="E40" s="410">
        <v>0</v>
      </c>
      <c r="F40" s="410">
        <v>0</v>
      </c>
      <c r="G40" s="410">
        <v>0</v>
      </c>
      <c r="H40" s="410">
        <v>0</v>
      </c>
      <c r="I40" s="410">
        <v>0</v>
      </c>
      <c r="J40" s="410">
        <v>0</v>
      </c>
      <c r="K40" s="410" t="e">
        <f>'Wskaźniki emisji, założenia'!B48*$C$40*$B$8/1000000</f>
        <v>#REF!</v>
      </c>
      <c r="L40" s="410" t="e">
        <f>'Wskaźniki emisji, założenia'!C48*$C$40*$B$8/1000000</f>
        <v>#REF!</v>
      </c>
      <c r="M40" s="410" t="e">
        <f>'Wskaźniki emisji, założenia'!D48*$C$40*$B$8/1000000</f>
        <v>#REF!</v>
      </c>
      <c r="N40" s="410" t="e">
        <f>'Wskaźniki emisji, założenia'!E48*$C$40*$B$8/1000000</f>
        <v>#REF!</v>
      </c>
      <c r="O40" s="410" t="e">
        <f>'Wskaźniki emisji, założenia'!F48*$C$40*$B$8/1000000</f>
        <v>#REF!</v>
      </c>
      <c r="P40" s="410" t="e">
        <f>'Wskaźniki emisji, założenia'!G48*$C$40*$B$8/1000000</f>
        <v>#REF!</v>
      </c>
      <c r="Q40" s="410" t="e">
        <f>'Wskaźniki emisji, założenia'!H48*$C$40*$B$8/1000000</f>
        <v>#REF!</v>
      </c>
    </row>
    <row r="41" spans="1:18" ht="15">
      <c r="A41" s="736" t="s">
        <v>363</v>
      </c>
      <c r="B41" s="737"/>
      <c r="C41" s="737"/>
      <c r="D41" s="737"/>
      <c r="E41" s="737"/>
      <c r="F41" s="737"/>
      <c r="G41" s="737"/>
      <c r="H41" s="737"/>
      <c r="I41" s="737"/>
      <c r="J41" s="737"/>
      <c r="K41" s="737"/>
      <c r="L41" s="737"/>
      <c r="M41" s="737"/>
      <c r="N41" s="737"/>
      <c r="O41" s="737"/>
      <c r="P41" s="737"/>
      <c r="Q41" s="738"/>
    </row>
    <row r="42" spans="1:18">
      <c r="A42" s="436" t="s">
        <v>376</v>
      </c>
      <c r="B42" s="3" t="e">
        <f>'Mieszkalne emisja, energia'!B66</f>
        <v>#REF!</v>
      </c>
      <c r="C42" s="435" t="e">
        <f>B42/$B$50</f>
        <v>#REF!</v>
      </c>
      <c r="D42" s="410" t="e">
        <f>$C$42*$B$7*'Wskaźniki emisji, założenia'!B52/1000000</f>
        <v>#REF!</v>
      </c>
      <c r="E42" s="410" t="e">
        <f>$C$42*$B$7*'Wskaźniki emisji, założenia'!C52/1000000</f>
        <v>#REF!</v>
      </c>
      <c r="F42" s="410" t="e">
        <f>$C$42*$B$7*'Wskaźniki emisji, założenia'!D52/1000000</f>
        <v>#REF!</v>
      </c>
      <c r="G42" s="410" t="e">
        <f>$C$42*$B$7*'Wskaźniki emisji, założenia'!E52/1000000</f>
        <v>#REF!</v>
      </c>
      <c r="H42" s="410" t="e">
        <f>$C$42*$B$7*'Wskaźniki emisji, założenia'!F52/1000000</f>
        <v>#REF!</v>
      </c>
      <c r="I42" s="410" t="e">
        <f>$C$42*$B$7*'Wskaźniki emisji, założenia'!G52/1000000</f>
        <v>#REF!</v>
      </c>
      <c r="J42" s="410" t="e">
        <f>$C$42*$B$7*'Wskaźniki emisji, założenia'!H52/1000000</f>
        <v>#REF!</v>
      </c>
      <c r="K42" s="410" t="e">
        <f>'Wskaźniki emisji, założenia'!B57/1000000*$C$42*$B$7</f>
        <v>#REF!</v>
      </c>
      <c r="L42" s="410" t="e">
        <f>'Wskaźniki emisji, założenia'!C57/1000000*$C$42*$B$7</f>
        <v>#REF!</v>
      </c>
      <c r="M42" s="410" t="e">
        <f>'Wskaźniki emisji, założenia'!D57/1000000*$C$42*$B$7</f>
        <v>#REF!</v>
      </c>
      <c r="N42" s="410" t="e">
        <f>'Wskaźniki emisji, założenia'!E57/1000000*$C$42*$B$7</f>
        <v>#REF!</v>
      </c>
      <c r="O42" s="410" t="e">
        <f>'Wskaźniki emisji, założenia'!F57/1000000*$C$42*$B$7</f>
        <v>#REF!</v>
      </c>
      <c r="P42" s="410" t="e">
        <f>'Wskaźniki emisji, założenia'!G57/1000000*$C$42*$B$7</f>
        <v>#REF!</v>
      </c>
      <c r="Q42" s="410" t="e">
        <f>'Wskaźniki emisji, założenia'!H57/1000000*$C$42*$B$7</f>
        <v>#REF!</v>
      </c>
    </row>
    <row r="43" spans="1:18">
      <c r="A43" s="408" t="s">
        <v>377</v>
      </c>
      <c r="B43" s="3" t="e">
        <f>'Mieszkalne emisja, energia'!B67</f>
        <v>#REF!</v>
      </c>
      <c r="C43" s="435" t="e">
        <f>B43/$B$50</f>
        <v>#REF!</v>
      </c>
      <c r="D43" s="410" t="e">
        <f>$C$43*$B$7*'Wskaźniki emisji, założenia'!B53/1000000</f>
        <v>#REF!</v>
      </c>
      <c r="E43" s="410" t="e">
        <f>$C$43*$B$7*'Wskaźniki emisji, założenia'!C53/1000000</f>
        <v>#REF!</v>
      </c>
      <c r="F43" s="410" t="e">
        <f>$C$43*$B$7*'Wskaźniki emisji, założenia'!D53/1000000</f>
        <v>#REF!</v>
      </c>
      <c r="G43" s="410" t="e">
        <f>$C$43*$B$7*'Wskaźniki emisji, założenia'!E53/1000000</f>
        <v>#REF!</v>
      </c>
      <c r="H43" s="410" t="e">
        <f>$C$43*$B$7*'Wskaźniki emisji, założenia'!F53/1000000</f>
        <v>#REF!</v>
      </c>
      <c r="I43" s="410" t="e">
        <f>$C$43*$B$7*'Wskaźniki emisji, założenia'!G53/1000000</f>
        <v>#REF!</v>
      </c>
      <c r="J43" s="410" t="e">
        <f>$C$43*$B$7*'Wskaźniki emisji, założenia'!H53/1000000</f>
        <v>#REF!</v>
      </c>
      <c r="K43" s="410" t="e">
        <f>'Wskaźniki emisji, założenia'!B58/1000000*$C$43*$B$8</f>
        <v>#REF!</v>
      </c>
      <c r="L43" s="410" t="e">
        <f>'Wskaźniki emisji, założenia'!C58/1000000*$C$43*$B$8</f>
        <v>#REF!</v>
      </c>
      <c r="M43" s="410" t="e">
        <f>'Wskaźniki emisji, założenia'!D58/1000000*$C$43*$B$8</f>
        <v>#REF!</v>
      </c>
      <c r="N43" s="410" t="e">
        <f>'Wskaźniki emisji, założenia'!E58/1000000*$C$43*$B$8</f>
        <v>#REF!</v>
      </c>
      <c r="O43" s="410" t="e">
        <f>'Wskaźniki emisji, założenia'!F58/1000000*$C$43*$B$8</f>
        <v>#REF!</v>
      </c>
      <c r="P43" s="410" t="e">
        <f>'Wskaźniki emisji, założenia'!G58/1000000*$C$43*$B$8</f>
        <v>#REF!</v>
      </c>
      <c r="Q43" s="410" t="e">
        <f>'Wskaźniki emisji, założenia'!H58/1000000*$C$43*$B$8</f>
        <v>#REF!</v>
      </c>
    </row>
    <row r="44" spans="1:18">
      <c r="A44" s="434"/>
      <c r="B44" s="434"/>
      <c r="C44" s="434"/>
      <c r="D44" s="434"/>
      <c r="E44" s="434"/>
      <c r="F44" s="434"/>
      <c r="G44" s="434"/>
      <c r="H44" s="434"/>
      <c r="I44" s="434"/>
      <c r="J44" s="434"/>
      <c r="K44" s="434"/>
      <c r="L44" s="434"/>
      <c r="M44" s="434"/>
      <c r="N44" s="434"/>
      <c r="O44" s="434"/>
      <c r="P44" s="434"/>
      <c r="Q44" s="434"/>
    </row>
    <row r="45" spans="1:18" ht="15">
      <c r="A45" s="434"/>
      <c r="B45" s="434"/>
      <c r="C45" s="434"/>
      <c r="D45" s="739" t="s">
        <v>393</v>
      </c>
      <c r="E45" s="739"/>
      <c r="F45" s="739"/>
      <c r="G45" s="739"/>
      <c r="H45" s="739"/>
      <c r="I45" s="739"/>
      <c r="J45" s="739"/>
      <c r="K45" s="409"/>
      <c r="L45" s="409"/>
      <c r="M45" s="409"/>
      <c r="N45" s="409"/>
      <c r="O45" s="409"/>
      <c r="P45" s="409"/>
      <c r="Q45" s="409"/>
    </row>
    <row r="46" spans="1:18" ht="15">
      <c r="A46" s="736" t="s">
        <v>313</v>
      </c>
      <c r="B46" s="737"/>
      <c r="C46" s="737"/>
      <c r="D46" s="411" t="s">
        <v>332</v>
      </c>
      <c r="E46" s="411" t="s">
        <v>333</v>
      </c>
      <c r="F46" s="411" t="s">
        <v>334</v>
      </c>
      <c r="G46" s="411" t="s">
        <v>335</v>
      </c>
      <c r="H46" s="411" t="s">
        <v>336</v>
      </c>
      <c r="I46" s="411" t="s">
        <v>337</v>
      </c>
      <c r="J46" s="411" t="s">
        <v>338</v>
      </c>
      <c r="K46" s="409"/>
      <c r="L46" s="409"/>
      <c r="M46" s="409"/>
      <c r="N46" s="409"/>
      <c r="O46" s="409"/>
      <c r="P46" s="409"/>
      <c r="Q46" s="409"/>
    </row>
    <row r="47" spans="1:18">
      <c r="A47" s="436" t="s">
        <v>93</v>
      </c>
      <c r="B47" s="3" t="e">
        <f>'Mieszkalne emisja, energia'!B71</f>
        <v>#REF!</v>
      </c>
      <c r="C47" s="435" t="e">
        <f>B47/$B$50</f>
        <v>#REF!</v>
      </c>
      <c r="D47" s="410">
        <f>$B$9*'Wskaźniki emisji, założenia'!B4/1000000</f>
        <v>2.9792799599999997E-3</v>
      </c>
      <c r="E47" s="410">
        <f>$B$9*'Wskaźniki emisji, założenia'!C4/1000000</f>
        <v>2.9792799599999997E-3</v>
      </c>
      <c r="F47" s="410">
        <f>$B$9*'Wskaźniki emisji, założenia'!D4/1000000</f>
        <v>129.10213160000001</v>
      </c>
      <c r="G47" s="410">
        <f>$B$9*'Wskaźniki emisji, założenia'!E4/1000000</f>
        <v>1.390330648E-9</v>
      </c>
      <c r="H47" s="410">
        <f>$B$9*'Wskaźniki emisji, założenia'!F4/1000000</f>
        <v>7.4481998999999992E-4</v>
      </c>
      <c r="I47" s="410">
        <f>$B$9*'Wskaźniki emisji, założenia'!G4/1000000</f>
        <v>0.12661939829999999</v>
      </c>
      <c r="J47" s="410">
        <f>$B$9*'Wskaźniki emisji, założenia'!H4/1000000</f>
        <v>6.4551065800000001E-2</v>
      </c>
      <c r="K47" s="409"/>
      <c r="L47" s="409"/>
      <c r="M47" s="409"/>
      <c r="N47" s="409"/>
      <c r="O47" s="409"/>
      <c r="P47" s="409"/>
      <c r="Q47" s="409"/>
      <c r="R47" s="434"/>
    </row>
    <row r="48" spans="1:18" ht="15">
      <c r="A48" s="736" t="s">
        <v>312</v>
      </c>
      <c r="B48" s="737"/>
      <c r="C48" s="737"/>
      <c r="D48" s="739" t="s">
        <v>394</v>
      </c>
      <c r="E48" s="739"/>
      <c r="F48" s="739"/>
      <c r="G48" s="739"/>
      <c r="H48" s="739"/>
      <c r="I48" s="739"/>
      <c r="J48" s="739"/>
      <c r="K48" s="409"/>
      <c r="L48" s="409"/>
      <c r="M48" s="409"/>
      <c r="N48" s="409"/>
      <c r="O48" s="409"/>
      <c r="P48" s="409"/>
      <c r="Q48" s="409"/>
      <c r="R48" s="434"/>
    </row>
    <row r="49" spans="1:18">
      <c r="A49" s="436" t="s">
        <v>391</v>
      </c>
      <c r="B49" s="3" t="e">
        <f>'Mieszkalne emisja, energia'!B73</f>
        <v>#REF!</v>
      </c>
      <c r="C49" s="435" t="e">
        <f>B49/$B$50</f>
        <v>#REF!</v>
      </c>
      <c r="D49" s="410">
        <f>$B$10*'Wskaźniki emisji, założenia'!B5/1000000</f>
        <v>2.5498342000000001E-5</v>
      </c>
      <c r="E49" s="410">
        <f>$B$10*'Wskaźniki emisji, założenia'!C5/1000000</f>
        <v>2.5498342000000001E-5</v>
      </c>
      <c r="F49" s="410">
        <f>$B$10*'Wskaźniki emisji, założenia'!D5/1000000</f>
        <v>1.0199336800000001</v>
      </c>
      <c r="G49" s="410">
        <f>$B$10*'Wskaźniki emisji, założenia'!E5/1000000</f>
        <v>1.0736143999999999E-9</v>
      </c>
      <c r="H49" s="410">
        <f>$B$10*'Wskaźniki emisji, założenia'!F5/1000000</f>
        <v>9.3941260000000003E-4</v>
      </c>
      <c r="I49" s="410">
        <f>$B$10*'Wskaźniki emisji, założenia'!G5/1000000</f>
        <v>6.8442918E-4</v>
      </c>
      <c r="J49" s="410">
        <f>$B$10*'Wskaźniki emisji, założenia'!H5/1000000</f>
        <v>7.6495025999999996E-4</v>
      </c>
      <c r="K49" s="409"/>
      <c r="L49" s="409"/>
      <c r="M49" s="409"/>
      <c r="N49" s="409"/>
      <c r="O49" s="409"/>
      <c r="P49" s="409"/>
      <c r="Q49" s="409"/>
      <c r="R49" s="434"/>
    </row>
    <row r="50" spans="1:18" ht="15" thickBot="1">
      <c r="A50" s="437" t="s">
        <v>366</v>
      </c>
      <c r="B50" s="438" t="e">
        <f>SUM(B22:B49)</f>
        <v>#REF!</v>
      </c>
      <c r="C50" s="439" t="e">
        <f>SUM(C22:C49)</f>
        <v>#REF!</v>
      </c>
      <c r="K50" s="409"/>
      <c r="L50" s="409"/>
      <c r="M50" s="409"/>
      <c r="N50" s="409"/>
      <c r="O50" s="409"/>
      <c r="P50" s="409"/>
      <c r="Q50" s="409"/>
    </row>
  </sheetData>
  <mergeCells count="14">
    <mergeCell ref="A48:C48"/>
    <mergeCell ref="D48:J48"/>
    <mergeCell ref="A1:U1"/>
    <mergeCell ref="A19:C20"/>
    <mergeCell ref="D19:J19"/>
    <mergeCell ref="K19:Q19"/>
    <mergeCell ref="A21:Q21"/>
    <mergeCell ref="A32:Q32"/>
    <mergeCell ref="A35:Q35"/>
    <mergeCell ref="A38:Q38"/>
    <mergeCell ref="A41:Q41"/>
    <mergeCell ref="D45:J45"/>
    <mergeCell ref="A46:C46"/>
    <mergeCell ref="A2:Q3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M178"/>
  <sheetViews>
    <sheetView view="pageBreakPreview" zoomScale="130" zoomScaleNormal="115" zoomScaleSheetLayoutView="13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X18" sqref="X18"/>
    </sheetView>
  </sheetViews>
  <sheetFormatPr defaultColWidth="9" defaultRowHeight="14.25"/>
  <cols>
    <col min="1" max="1" width="2.125" style="64" customWidth="1"/>
    <col min="2" max="2" width="2.625" style="64" hidden="1" customWidth="1"/>
    <col min="3" max="3" width="10.625" style="64" hidden="1" customWidth="1"/>
    <col min="4" max="4" width="7.375" style="65" customWidth="1"/>
    <col min="5" max="5" width="4.5" style="65" hidden="1" customWidth="1"/>
    <col min="6" max="6" width="7.875" style="66" bestFit="1" customWidth="1"/>
    <col min="7" max="7" width="4.25" style="63" hidden="1" customWidth="1"/>
    <col min="8" max="8" width="6.625" style="63" hidden="1" customWidth="1"/>
    <col min="9" max="9" width="7.375" style="63" hidden="1" customWidth="1"/>
    <col min="10" max="10" width="5" style="63" hidden="1" customWidth="1"/>
    <col min="11" max="11" width="7.125" style="63" hidden="1" customWidth="1"/>
    <col min="12" max="13" width="2.25" style="63" hidden="1" customWidth="1"/>
    <col min="14" max="14" width="8.25" style="63" hidden="1" customWidth="1"/>
    <col min="15" max="15" width="4.625" style="63" hidden="1" customWidth="1"/>
    <col min="16" max="16" width="6" style="63" customWidth="1"/>
    <col min="17" max="17" width="8.625" style="63" bestFit="1" customWidth="1"/>
    <col min="18" max="18" width="26" style="63" customWidth="1"/>
    <col min="19" max="19" width="1.625" style="63" customWidth="1"/>
    <col min="20" max="20" width="4.375" style="63" customWidth="1"/>
    <col min="21" max="21" width="5.875" style="63" bestFit="1" customWidth="1"/>
    <col min="22" max="22" width="6" style="63" customWidth="1"/>
    <col min="23" max="23" width="6.25" style="63" customWidth="1"/>
    <col min="24" max="24" width="5" style="63" customWidth="1"/>
    <col min="25" max="25" width="6.625" style="67" customWidth="1"/>
    <col min="26" max="26" width="3.625" style="67" customWidth="1"/>
    <col min="27" max="27" width="4" style="67" customWidth="1"/>
    <col min="28" max="28" width="2.5" style="67" customWidth="1"/>
    <col min="29" max="29" width="5.125" style="67" customWidth="1"/>
    <col min="30" max="30" width="2.5" style="67" customWidth="1"/>
    <col min="31" max="31" width="2.5" style="63" customWidth="1"/>
    <col min="32" max="32" width="3.375" style="63" customWidth="1"/>
    <col min="33" max="33" width="3.625" style="63" customWidth="1"/>
    <col min="34" max="38" width="2.5" style="63" customWidth="1"/>
    <col min="39" max="39" width="5" style="63" customWidth="1"/>
    <col min="40" max="40" width="5.25" style="63" bestFit="1" customWidth="1"/>
    <col min="41" max="41" width="4.75" style="63" bestFit="1" customWidth="1"/>
    <col min="42" max="42" width="5.375" style="63" hidden="1" customWidth="1"/>
    <col min="43" max="43" width="3.375" style="63" bestFit="1" customWidth="1"/>
    <col min="44" max="44" width="3.625" style="63" bestFit="1" customWidth="1"/>
    <col min="45" max="45" width="4.5" style="63" bestFit="1" customWidth="1"/>
    <col min="46" max="47" width="3" style="63" bestFit="1" customWidth="1"/>
    <col min="48" max="48" width="3.875" style="63" bestFit="1" customWidth="1"/>
    <col min="49" max="49" width="3" style="63" bestFit="1" customWidth="1"/>
    <col min="50" max="50" width="2.5" style="63" hidden="1" customWidth="1"/>
    <col min="51" max="51" width="4.625" style="63" hidden="1" customWidth="1"/>
    <col min="52" max="52" width="6" style="63" hidden="1" customWidth="1"/>
    <col min="53" max="53" width="4.75" style="63" hidden="1" customWidth="1"/>
    <col min="54" max="54" width="6" style="63" hidden="1" customWidth="1"/>
    <col min="55" max="55" width="5.125" style="63" hidden="1" customWidth="1"/>
    <col min="56" max="56" width="15.125" style="63" customWidth="1"/>
    <col min="57" max="57" width="5.125" style="63" customWidth="1"/>
    <col min="58" max="58" width="5.625" style="63" hidden="1" customWidth="1"/>
    <col min="59" max="59" width="0" style="64" hidden="1" customWidth="1"/>
    <col min="60" max="60" width="5.25" style="64" hidden="1" customWidth="1"/>
    <col min="61" max="61" width="5.5" style="64" hidden="1" customWidth="1"/>
    <col min="62" max="62" width="5.75" style="64" hidden="1" customWidth="1"/>
    <col min="63" max="63" width="6.125" style="64" hidden="1" customWidth="1"/>
    <col min="64" max="64" width="5.75" style="64" hidden="1" customWidth="1"/>
    <col min="65" max="65" width="5" style="64" hidden="1" customWidth="1"/>
    <col min="66" max="66" width="5.75" style="64" hidden="1" customWidth="1"/>
    <col min="67" max="67" width="5" style="64" hidden="1" customWidth="1"/>
    <col min="68" max="68" width="4.625" style="64" hidden="1" customWidth="1"/>
    <col min="69" max="69" width="5.125" style="64" hidden="1" customWidth="1"/>
    <col min="70" max="71" width="4" style="64" hidden="1" customWidth="1"/>
    <col min="72" max="72" width="4.25" style="64" hidden="1" customWidth="1"/>
    <col min="73" max="78" width="4" style="64" hidden="1" customWidth="1"/>
    <col min="79" max="79" width="4.25" style="64" hidden="1" customWidth="1"/>
    <col min="80" max="83" width="4" style="64" hidden="1" customWidth="1"/>
    <col min="84" max="84" width="3.875" hidden="1" customWidth="1"/>
    <col min="85" max="85" width="3.875" style="64" hidden="1" customWidth="1"/>
    <col min="86" max="86" width="3.875" hidden="1" customWidth="1"/>
    <col min="87" max="87" width="4.5" style="64" hidden="1" customWidth="1"/>
    <col min="88" max="90" width="3.875" style="64" hidden="1" customWidth="1"/>
    <col min="91" max="91" width="0" style="64" hidden="1" customWidth="1"/>
    <col min="92" max="16384" width="9" style="64"/>
  </cols>
  <sheetData>
    <row r="1" spans="1:91" ht="15" thickBot="1">
      <c r="A1" s="757" t="s">
        <v>260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758"/>
      <c r="AA1" s="758"/>
      <c r="AB1" s="758"/>
      <c r="AC1" s="758"/>
      <c r="AD1" s="758"/>
      <c r="AE1" s="758"/>
      <c r="AF1" s="758"/>
      <c r="AG1" s="758"/>
      <c r="AH1" s="758"/>
      <c r="AI1" s="758"/>
      <c r="AJ1" s="758"/>
      <c r="AK1" s="758"/>
      <c r="AL1" s="758"/>
      <c r="AM1" s="758"/>
      <c r="AN1" s="758"/>
      <c r="AO1" s="758"/>
      <c r="AP1" s="758"/>
      <c r="AQ1" s="758"/>
      <c r="AR1" s="758"/>
      <c r="AS1" s="758"/>
      <c r="AT1" s="758"/>
      <c r="AU1" s="758"/>
      <c r="AV1" s="758"/>
      <c r="AW1" s="758"/>
      <c r="AX1" s="758"/>
      <c r="AY1" s="758"/>
      <c r="AZ1" s="758"/>
      <c r="BA1" s="758"/>
      <c r="BB1" s="758"/>
      <c r="BC1" s="758"/>
      <c r="BD1" s="758"/>
      <c r="BE1" s="758"/>
      <c r="BF1" s="759"/>
      <c r="BH1" s="760" t="s">
        <v>112</v>
      </c>
      <c r="BI1" s="760"/>
      <c r="BJ1" s="760"/>
      <c r="BK1" s="760"/>
      <c r="BL1" s="760"/>
      <c r="BM1" s="760"/>
      <c r="BN1" s="760"/>
      <c r="BO1" s="760"/>
      <c r="BP1" s="760"/>
      <c r="BQ1" s="168"/>
      <c r="BR1" s="184" t="s">
        <v>113</v>
      </c>
      <c r="BS1" s="185"/>
      <c r="BT1" s="185"/>
      <c r="BU1" s="185"/>
      <c r="BV1" s="185"/>
      <c r="BW1" s="185"/>
      <c r="BX1" s="75"/>
      <c r="BY1" s="75"/>
      <c r="BZ1" s="75"/>
      <c r="CA1" s="75"/>
      <c r="CB1" s="75"/>
      <c r="CC1" s="75"/>
      <c r="CD1" s="75"/>
      <c r="CE1" s="75"/>
    </row>
    <row r="2" spans="1:91" s="61" customFormat="1" ht="8.25">
      <c r="A2" s="754" t="s">
        <v>4</v>
      </c>
      <c r="B2" s="754" t="s">
        <v>144</v>
      </c>
      <c r="C2" s="754"/>
      <c r="D2" s="761" t="s">
        <v>261</v>
      </c>
      <c r="E2" s="762" t="s">
        <v>146</v>
      </c>
      <c r="F2" s="763" t="s">
        <v>147</v>
      </c>
      <c r="G2" s="747" t="s">
        <v>24</v>
      </c>
      <c r="H2" s="747" t="s">
        <v>148</v>
      </c>
      <c r="I2" s="747" t="s">
        <v>149</v>
      </c>
      <c r="J2" s="747" t="s">
        <v>150</v>
      </c>
      <c r="K2" s="747" t="s">
        <v>151</v>
      </c>
      <c r="L2" s="747" t="s">
        <v>152</v>
      </c>
      <c r="M2" s="747"/>
      <c r="N2" s="747" t="s">
        <v>34</v>
      </c>
      <c r="O2" s="747" t="s">
        <v>77</v>
      </c>
      <c r="P2" s="747" t="s">
        <v>262</v>
      </c>
      <c r="Q2" s="747" t="s">
        <v>263</v>
      </c>
      <c r="R2" s="755" t="s">
        <v>83</v>
      </c>
      <c r="S2" s="755" t="s">
        <v>264</v>
      </c>
      <c r="T2" s="755" t="s">
        <v>78</v>
      </c>
      <c r="U2" s="755" t="s">
        <v>265</v>
      </c>
      <c r="V2" s="755" t="s">
        <v>47</v>
      </c>
      <c r="W2" s="755" t="s">
        <v>96</v>
      </c>
      <c r="X2" s="755" t="s">
        <v>47</v>
      </c>
      <c r="Y2" s="756" t="s">
        <v>80</v>
      </c>
      <c r="Z2" s="756"/>
      <c r="AA2" s="756"/>
      <c r="AB2" s="756"/>
      <c r="AC2" s="756"/>
      <c r="AD2" s="756"/>
      <c r="AE2" s="756"/>
      <c r="AF2" s="754" t="s">
        <v>81</v>
      </c>
      <c r="AG2" s="754"/>
      <c r="AH2" s="754"/>
      <c r="AI2" s="754"/>
      <c r="AJ2" s="754"/>
      <c r="AK2" s="754"/>
      <c r="AL2" s="754"/>
      <c r="AM2" s="747" t="s">
        <v>153</v>
      </c>
      <c r="AN2" s="747" t="s">
        <v>266</v>
      </c>
      <c r="AO2" s="747" t="s">
        <v>154</v>
      </c>
      <c r="AP2" s="747" t="s">
        <v>155</v>
      </c>
      <c r="AQ2" s="754" t="s">
        <v>82</v>
      </c>
      <c r="AR2" s="754"/>
      <c r="AS2" s="754"/>
      <c r="AT2" s="754"/>
      <c r="AU2" s="754"/>
      <c r="AV2" s="754"/>
      <c r="AW2" s="754"/>
      <c r="AX2" s="747" t="s">
        <v>85</v>
      </c>
      <c r="AY2" s="747" t="s">
        <v>89</v>
      </c>
      <c r="AZ2" s="747" t="s">
        <v>156</v>
      </c>
      <c r="BA2" s="747" t="s">
        <v>89</v>
      </c>
      <c r="BB2" s="747" t="s">
        <v>157</v>
      </c>
      <c r="BC2" s="747" t="s">
        <v>158</v>
      </c>
      <c r="BD2" s="747" t="s">
        <v>267</v>
      </c>
      <c r="BE2" s="747" t="s">
        <v>268</v>
      </c>
      <c r="BF2" s="753" t="s">
        <v>157</v>
      </c>
      <c r="BH2" s="186" t="s">
        <v>114</v>
      </c>
      <c r="BI2" s="187" t="s">
        <v>115</v>
      </c>
      <c r="BJ2" s="188" t="s">
        <v>38</v>
      </c>
      <c r="BK2" s="187" t="s">
        <v>115</v>
      </c>
      <c r="BL2" s="188" t="s">
        <v>40</v>
      </c>
      <c r="BM2" s="187" t="s">
        <v>115</v>
      </c>
      <c r="BN2" s="188" t="s">
        <v>42</v>
      </c>
      <c r="BO2" s="187" t="s">
        <v>115</v>
      </c>
      <c r="BP2" s="188" t="s">
        <v>44</v>
      </c>
      <c r="BQ2" s="189"/>
      <c r="BR2" s="190" t="s">
        <v>8</v>
      </c>
      <c r="BS2" s="191" t="s">
        <v>116</v>
      </c>
      <c r="BT2" s="191" t="s">
        <v>79</v>
      </c>
      <c r="BU2" s="191" t="s">
        <v>27</v>
      </c>
      <c r="BV2" s="191" t="s">
        <v>117</v>
      </c>
      <c r="BW2" s="192" t="s">
        <v>29</v>
      </c>
      <c r="BX2" s="193" t="s">
        <v>269</v>
      </c>
      <c r="BY2" s="194" t="s">
        <v>8</v>
      </c>
      <c r="BZ2" s="195" t="s">
        <v>116</v>
      </c>
      <c r="CA2" s="195" t="s">
        <v>79</v>
      </c>
      <c r="CB2" s="195" t="s">
        <v>27</v>
      </c>
      <c r="CC2" s="195" t="s">
        <v>117</v>
      </c>
      <c r="CD2" s="196" t="s">
        <v>29</v>
      </c>
      <c r="CE2" s="197" t="s">
        <v>269</v>
      </c>
      <c r="CF2" s="194" t="s">
        <v>8</v>
      </c>
      <c r="CG2" s="197" t="s">
        <v>269</v>
      </c>
      <c r="CH2" s="195" t="s">
        <v>116</v>
      </c>
      <c r="CI2" s="195" t="s">
        <v>79</v>
      </c>
      <c r="CJ2" s="195" t="s">
        <v>27</v>
      </c>
      <c r="CK2" s="195" t="s">
        <v>117</v>
      </c>
      <c r="CL2" s="196" t="s">
        <v>29</v>
      </c>
    </row>
    <row r="3" spans="1:91" s="61" customFormat="1" ht="45" customHeight="1">
      <c r="A3" s="754"/>
      <c r="B3" s="754"/>
      <c r="C3" s="754"/>
      <c r="D3" s="761"/>
      <c r="E3" s="762"/>
      <c r="F3" s="763"/>
      <c r="G3" s="747"/>
      <c r="H3" s="747"/>
      <c r="I3" s="747"/>
      <c r="J3" s="747"/>
      <c r="K3" s="747"/>
      <c r="L3" s="747"/>
      <c r="M3" s="747"/>
      <c r="N3" s="747"/>
      <c r="O3" s="747"/>
      <c r="P3" s="747"/>
      <c r="Q3" s="747"/>
      <c r="R3" s="755"/>
      <c r="S3" s="755"/>
      <c r="T3" s="755"/>
      <c r="U3" s="755"/>
      <c r="V3" s="755"/>
      <c r="W3" s="755"/>
      <c r="X3" s="755"/>
      <c r="Y3" s="198" t="s">
        <v>66</v>
      </c>
      <c r="Z3" s="198" t="s">
        <v>67</v>
      </c>
      <c r="AA3" s="198" t="s">
        <v>68</v>
      </c>
      <c r="AB3" s="198" t="s">
        <v>69</v>
      </c>
      <c r="AC3" s="198" t="s">
        <v>70</v>
      </c>
      <c r="AD3" s="198" t="s">
        <v>71</v>
      </c>
      <c r="AE3" s="198" t="s">
        <v>72</v>
      </c>
      <c r="AF3" s="180" t="s">
        <v>66</v>
      </c>
      <c r="AG3" s="180" t="s">
        <v>67</v>
      </c>
      <c r="AH3" s="180" t="s">
        <v>68</v>
      </c>
      <c r="AI3" s="180" t="s">
        <v>69</v>
      </c>
      <c r="AJ3" s="180" t="s">
        <v>70</v>
      </c>
      <c r="AK3" s="180" t="s">
        <v>71</v>
      </c>
      <c r="AL3" s="180" t="s">
        <v>72</v>
      </c>
      <c r="AM3" s="747"/>
      <c r="AN3" s="747"/>
      <c r="AO3" s="747"/>
      <c r="AP3" s="747"/>
      <c r="AQ3" s="181" t="s">
        <v>66</v>
      </c>
      <c r="AR3" s="181" t="s">
        <v>67</v>
      </c>
      <c r="AS3" s="181" t="s">
        <v>135</v>
      </c>
      <c r="AT3" s="181" t="s">
        <v>69</v>
      </c>
      <c r="AU3" s="181" t="s">
        <v>70</v>
      </c>
      <c r="AV3" s="181" t="s">
        <v>71</v>
      </c>
      <c r="AW3" s="181" t="s">
        <v>72</v>
      </c>
      <c r="AX3" s="747"/>
      <c r="AY3" s="747"/>
      <c r="AZ3" s="747"/>
      <c r="BA3" s="747"/>
      <c r="BB3" s="747"/>
      <c r="BC3" s="747"/>
      <c r="BD3" s="747"/>
      <c r="BE3" s="747"/>
      <c r="BF3" s="753"/>
      <c r="BH3" s="199"/>
      <c r="BI3" s="200"/>
      <c r="BJ3" s="200"/>
      <c r="BK3" s="200"/>
      <c r="BL3" s="200"/>
      <c r="BM3" s="200"/>
      <c r="BN3" s="200"/>
      <c r="BO3" s="200"/>
      <c r="BP3" s="200"/>
      <c r="BQ3" s="201"/>
      <c r="BR3" s="200"/>
      <c r="BS3" s="200"/>
      <c r="BT3" s="200"/>
      <c r="BU3" s="200"/>
      <c r="BV3" s="200"/>
      <c r="BW3" s="200"/>
      <c r="BX3" s="200"/>
      <c r="BY3" s="199"/>
      <c r="BZ3" s="200"/>
      <c r="CA3" s="200"/>
      <c r="CB3" s="200"/>
      <c r="CC3" s="200"/>
      <c r="CD3" s="201"/>
      <c r="CE3" s="200"/>
    </row>
    <row r="4" spans="1:91" s="61" customFormat="1" ht="8.25">
      <c r="A4" s="230">
        <v>1</v>
      </c>
      <c r="B4" s="230"/>
      <c r="C4" s="230"/>
      <c r="D4" s="202">
        <v>2</v>
      </c>
      <c r="E4" s="202"/>
      <c r="F4" s="203">
        <v>3</v>
      </c>
      <c r="G4" s="230">
        <v>4</v>
      </c>
      <c r="H4" s="230">
        <v>5</v>
      </c>
      <c r="I4" s="230"/>
      <c r="J4" s="230"/>
      <c r="K4" s="230"/>
      <c r="L4" s="748">
        <v>6</v>
      </c>
      <c r="M4" s="748"/>
      <c r="N4" s="230">
        <v>5</v>
      </c>
      <c r="O4" s="230">
        <v>6</v>
      </c>
      <c r="P4" s="230">
        <v>7</v>
      </c>
      <c r="Q4" s="230">
        <v>8</v>
      </c>
      <c r="R4" s="230">
        <v>9</v>
      </c>
      <c r="S4" s="230">
        <v>10</v>
      </c>
      <c r="T4" s="230">
        <v>11</v>
      </c>
      <c r="U4" s="230">
        <v>12</v>
      </c>
      <c r="V4" s="230">
        <v>12</v>
      </c>
      <c r="W4" s="230">
        <v>13</v>
      </c>
      <c r="X4" s="230">
        <v>14</v>
      </c>
      <c r="Y4" s="230">
        <v>15</v>
      </c>
      <c r="Z4" s="230">
        <v>16</v>
      </c>
      <c r="AA4" s="230">
        <v>17</v>
      </c>
      <c r="AB4" s="230">
        <v>18</v>
      </c>
      <c r="AC4" s="230">
        <v>19</v>
      </c>
      <c r="AD4" s="230">
        <v>20</v>
      </c>
      <c r="AE4" s="230">
        <v>21</v>
      </c>
      <c r="AF4" s="230">
        <v>29</v>
      </c>
      <c r="AG4" s="230">
        <v>30</v>
      </c>
      <c r="AH4" s="230">
        <v>31</v>
      </c>
      <c r="AI4" s="230">
        <v>32</v>
      </c>
      <c r="AJ4" s="230">
        <v>33</v>
      </c>
      <c r="AK4" s="230">
        <v>34</v>
      </c>
      <c r="AL4" s="230">
        <v>35</v>
      </c>
      <c r="AM4" s="230">
        <v>13</v>
      </c>
      <c r="AN4" s="230">
        <v>14</v>
      </c>
      <c r="AO4" s="230">
        <v>15</v>
      </c>
      <c r="AP4" s="230">
        <v>13</v>
      </c>
      <c r="AQ4" s="230">
        <v>16</v>
      </c>
      <c r="AR4" s="230">
        <f>AQ4+1</f>
        <v>17</v>
      </c>
      <c r="AS4" s="230">
        <f t="shared" ref="AS4:BC4" si="0">AR4+1</f>
        <v>18</v>
      </c>
      <c r="AT4" s="230">
        <f t="shared" si="0"/>
        <v>19</v>
      </c>
      <c r="AU4" s="230">
        <f t="shared" si="0"/>
        <v>20</v>
      </c>
      <c r="AV4" s="230">
        <f t="shared" si="0"/>
        <v>21</v>
      </c>
      <c r="AW4" s="230">
        <f t="shared" si="0"/>
        <v>22</v>
      </c>
      <c r="AX4" s="230">
        <f t="shared" si="0"/>
        <v>23</v>
      </c>
      <c r="AY4" s="230">
        <f t="shared" si="0"/>
        <v>24</v>
      </c>
      <c r="AZ4" s="230">
        <f t="shared" si="0"/>
        <v>25</v>
      </c>
      <c r="BA4" s="230">
        <f t="shared" si="0"/>
        <v>26</v>
      </c>
      <c r="BB4" s="230">
        <f t="shared" si="0"/>
        <v>27</v>
      </c>
      <c r="BC4" s="230">
        <f t="shared" si="0"/>
        <v>28</v>
      </c>
      <c r="BD4" s="230">
        <v>25</v>
      </c>
      <c r="BE4" s="230">
        <v>26</v>
      </c>
      <c r="BF4" s="257">
        <v>28</v>
      </c>
      <c r="BH4" s="204"/>
      <c r="BI4" s="205"/>
      <c r="BJ4" s="205"/>
      <c r="BK4" s="205"/>
      <c r="BL4" s="205"/>
      <c r="BM4" s="205"/>
      <c r="BN4" s="205"/>
      <c r="BO4" s="205"/>
      <c r="BP4" s="205"/>
      <c r="BQ4" s="206"/>
      <c r="BR4" s="207"/>
      <c r="BS4" s="207"/>
      <c r="BT4" s="207"/>
      <c r="BU4" s="207"/>
      <c r="BV4" s="207"/>
      <c r="BW4" s="207"/>
      <c r="BX4" s="207"/>
      <c r="BY4" s="208"/>
      <c r="BZ4" s="207"/>
      <c r="CA4" s="207"/>
      <c r="CB4" s="207"/>
      <c r="CC4" s="207"/>
      <c r="CD4" s="209"/>
      <c r="CE4" s="207"/>
    </row>
    <row r="5" spans="1:91" ht="8.25">
      <c r="A5" s="210">
        <v>1</v>
      </c>
      <c r="B5" s="70"/>
      <c r="C5" s="70" t="b">
        <f t="shared" ref="C5" si="1">IF(ISTEXT(D5),1)</f>
        <v>0</v>
      </c>
      <c r="D5" s="211"/>
      <c r="E5" s="171"/>
      <c r="F5" s="211"/>
      <c r="G5" s="71"/>
      <c r="H5" s="71"/>
      <c r="I5" s="69"/>
      <c r="J5" s="69"/>
      <c r="K5" s="71"/>
      <c r="L5" s="71"/>
      <c r="M5" s="71"/>
      <c r="N5" s="71">
        <v>290</v>
      </c>
      <c r="O5" s="212"/>
      <c r="P5" s="229"/>
      <c r="Q5" s="71"/>
      <c r="R5" s="183"/>
      <c r="S5" s="183"/>
      <c r="T5" s="229"/>
      <c r="U5" s="213">
        <f t="shared" ref="U5:U8" si="2">IF(V5&gt;0,(W5+X5+V5)/2,W5+X5)</f>
        <v>0</v>
      </c>
      <c r="V5" s="172">
        <v>0</v>
      </c>
      <c r="W5" s="172">
        <v>0</v>
      </c>
      <c r="X5" s="172">
        <v>0</v>
      </c>
      <c r="Y5" s="72">
        <f>IF(P5="węgiel",U5*#REF!,IF(P5="gaz",U5*#REF!,IF(P5="drewno",U5*#REF!,IF(P5="pelet",U5*#REF!,IF(P5="olej opałowy",U5*#REF!,IF(P5="sieć ciepłownicza",0,IF(P5="prąd",0,0)))))))</f>
        <v>0</v>
      </c>
      <c r="Z5" s="62">
        <f>IF(P5="węgiel",U5*#REF!,IF(P5="gaz",U5*#REF!,IF(P5="drewno",U5*#REF!,IF(P5="pelet",U5*#REF!,IF(P5="olej opałowy",U5*#REF!,IF(P5="sieć ciepłownicza",0,IF(P5="prąd",0,0)))))))</f>
        <v>0</v>
      </c>
      <c r="AA5" s="62">
        <f>IF(P5="węgiel",P5*#REF!,IF(P5="gaz",U5*#REF!,IF(P5="drewno",U5*#REF!,IF(P5="pelet",U5*#REF!,IF(P5="olej opałowy",U5*#REF!,IF(P5="sieć ciepłownicza",U5*#REF!,IF(P5="prąd",0,0)))))))</f>
        <v>0</v>
      </c>
      <c r="AB5" s="62">
        <f>IF(P5="węgiel",U5*#REF!,IF(P5="gaz",U5*#REF!,IF(P5="drewno",U5*#REF!,IF(P5="pelet",U5*#REF!,IF(P5="olej opałowy",U5*#REF!,IF(P5="sieć ciepłownicza",0,IF(P5="prąd",0,0)))))))</f>
        <v>0</v>
      </c>
      <c r="AC5" s="72">
        <f>IF(P5="węgiel",U5*#REF!, IF(P5="gaz",U5*#REF!,IF(P5="drewno",U5*#REF!,IF(P5="pelet",U5*#REF!,IF(P5="olej opałowy",U5*#REF!,IF(P5="sieć ciepłownicza",0,IF(P5="prąd",0,0)))))))</f>
        <v>0</v>
      </c>
      <c r="AD5" s="62">
        <f>IF(P5="węgiel",U5*#REF!, IF(P5="gaz",U5*#REF!, IF(P5="drewno",U5*#REF!,IF(P5="pelet",U5*#REF!,IF(P5="olej opałowy",U5*#REF!,IF(P5="sieć ciepłownicza",0,IF(P5="prąd",0,0)))))))</f>
        <v>0</v>
      </c>
      <c r="AE5" s="62">
        <f>IF(P5="węgiel",U5*#REF!,IF(P5="gaz",U5*#REF!, IF(P5="drewno",U5*#REF!,IF(P5="pelet",U5*#REF!,IF(P5="pelet",U5*#REF!,IF(P5="olej opałowy",U5*#REF!,IF(P5="sieć ciepłownicza",0,IF(P5="prąd",0,0))))))))</f>
        <v>0</v>
      </c>
      <c r="AF5" s="62">
        <v>0</v>
      </c>
      <c r="AG5" s="62">
        <v>0</v>
      </c>
      <c r="AH5" s="62">
        <v>0</v>
      </c>
      <c r="AI5" s="62">
        <v>0</v>
      </c>
      <c r="AJ5" s="62">
        <v>0</v>
      </c>
      <c r="AK5" s="62">
        <v>0</v>
      </c>
      <c r="AL5" s="62">
        <v>0</v>
      </c>
      <c r="AM5" s="172">
        <f>U5</f>
        <v>0</v>
      </c>
      <c r="AN5" s="172"/>
      <c r="AO5" s="172"/>
      <c r="AP5" s="62" t="b">
        <v>0</v>
      </c>
      <c r="AQ5" s="172">
        <f>Y5</f>
        <v>0</v>
      </c>
      <c r="AR5" s="172">
        <f>Z5</f>
        <v>0</v>
      </c>
      <c r="AS5" s="172"/>
      <c r="AT5" s="214">
        <f>AB5</f>
        <v>0</v>
      </c>
      <c r="AU5" s="214">
        <f t="shared" ref="AU5:AW5" si="3">AC5</f>
        <v>0</v>
      </c>
      <c r="AV5" s="214">
        <f t="shared" si="3"/>
        <v>0</v>
      </c>
      <c r="AW5" s="214">
        <f t="shared" si="3"/>
        <v>0</v>
      </c>
      <c r="AX5" s="69"/>
      <c r="AY5" s="73"/>
      <c r="AZ5" s="73"/>
      <c r="BA5" s="73"/>
      <c r="BB5" s="73"/>
      <c r="BC5" s="73"/>
      <c r="BD5" s="73"/>
      <c r="BE5" s="73"/>
      <c r="BF5" s="74"/>
      <c r="BH5" s="215">
        <f>IF(G5&lt;=1966,H5)</f>
        <v>0</v>
      </c>
      <c r="BI5" s="216" t="b">
        <f>IF(O5="kompletna",BH5,IF(O5="częściowa",0.5*BH5))</f>
        <v>0</v>
      </c>
      <c r="BJ5" s="216" t="b">
        <f>IF(G5&gt;1966,IF(G5&lt;=1985,H5))</f>
        <v>0</v>
      </c>
      <c r="BK5" s="216" t="b">
        <f>IF(O5="kompletna",BJ5,IF(O5="częściowa",0.5*BJ5))</f>
        <v>0</v>
      </c>
      <c r="BL5" s="216" t="b">
        <f>IF(G5&gt;1985,IF(G5&lt;=1992,H5))</f>
        <v>0</v>
      </c>
      <c r="BM5" s="216" t="b">
        <f>IF(O5="kompletna",BL5,IF(O5="częściowa",0.5*BL5))</f>
        <v>0</v>
      </c>
      <c r="BN5" s="216" t="b">
        <f>IF(G5&gt;1992,IF(G5&lt;=1996,H5))</f>
        <v>0</v>
      </c>
      <c r="BO5" s="216" t="b">
        <f>IF(O5="kompletna",BN5,IF(O5="częściowa",0.5*BN5))</f>
        <v>0</v>
      </c>
      <c r="BP5" s="216" t="b">
        <f>IF(G5&gt;1996,IF(G5&lt;=2014,H5))</f>
        <v>0</v>
      </c>
      <c r="BQ5" s="217" t="b">
        <f>IF(O5="kompletna",BP5,IF(O5="częściowa",0.5*BP5))</f>
        <v>0</v>
      </c>
      <c r="BR5" s="218" t="b">
        <f>IF(P5="węgiel",X5)</f>
        <v>0</v>
      </c>
      <c r="BS5" s="218" t="b">
        <f t="shared" ref="BS5" si="4">IF(P5="gaz",U5)</f>
        <v>0</v>
      </c>
      <c r="BT5" s="218" t="b">
        <f>IF(P5="drewno",X5)</f>
        <v>0</v>
      </c>
      <c r="BU5" s="218" t="b">
        <f>IF(P5="pelet",X5)</f>
        <v>0</v>
      </c>
      <c r="BV5" s="218" t="b">
        <f>IF(P5="olej opałowy",X5)</f>
        <v>0</v>
      </c>
      <c r="BW5" s="218" t="b">
        <f t="shared" ref="BW5" si="5">IF(P5="prąd",U5)</f>
        <v>0</v>
      </c>
      <c r="BX5" s="218" t="b">
        <f>IF(P5="sieć ciepłownicza",X5)</f>
        <v>0</v>
      </c>
      <c r="BY5" s="219" t="b">
        <f>IF(T5="węgiel",W5)</f>
        <v>0</v>
      </c>
      <c r="BZ5" s="218" t="b">
        <f>IF(T5="gaz",W5)</f>
        <v>0</v>
      </c>
      <c r="CA5" s="218" t="b">
        <f>IF(T5="drewno",W5)</f>
        <v>0</v>
      </c>
      <c r="CB5" s="218" t="b">
        <f>IF(T5="pelet",W5)</f>
        <v>0</v>
      </c>
      <c r="CC5" s="218" t="b">
        <f>IF(T5="olej opałowy",W5)</f>
        <v>0</v>
      </c>
      <c r="CD5" s="220" t="b">
        <f>IF(T5="prąd",W5)</f>
        <v>0</v>
      </c>
      <c r="CE5" s="218" t="b">
        <f>IF(P5="sieć ciepłownicza",W5)</f>
        <v>0</v>
      </c>
      <c r="CF5" s="219" t="b">
        <f>IF(P5="węgiel",U5)</f>
        <v>0</v>
      </c>
      <c r="CG5" s="218" t="b">
        <f>IF(P5="sieć ciepłownicza",U5)</f>
        <v>0</v>
      </c>
      <c r="CH5" s="218" t="b">
        <f>IF(P5="gaz",U5)</f>
        <v>0</v>
      </c>
      <c r="CI5" s="218" t="b">
        <f>IF(P5="drewno",U5)</f>
        <v>0</v>
      </c>
      <c r="CJ5" s="218" t="b">
        <f>IF(P5="pelet",U5)</f>
        <v>0</v>
      </c>
      <c r="CK5" s="218" t="b">
        <f>IF(P5="olej opałowy",U5)</f>
        <v>0</v>
      </c>
      <c r="CL5" s="220" t="b">
        <f>IF(P5="prąd",AO5)</f>
        <v>0</v>
      </c>
    </row>
    <row r="6" spans="1:91" ht="8.25">
      <c r="A6" s="210">
        <v>2</v>
      </c>
      <c r="B6" s="70"/>
      <c r="C6" s="70" t="b">
        <f t="shared" ref="C6:C7" si="6">IF(ISTEXT(D6),1)</f>
        <v>0</v>
      </c>
      <c r="D6" s="211"/>
      <c r="E6" s="171"/>
      <c r="F6" s="211"/>
      <c r="G6" s="71"/>
      <c r="H6" s="71"/>
      <c r="I6" s="69"/>
      <c r="J6" s="69"/>
      <c r="K6" s="71"/>
      <c r="L6" s="71"/>
      <c r="M6" s="71"/>
      <c r="N6" s="71">
        <v>290</v>
      </c>
      <c r="O6" s="212"/>
      <c r="P6" s="229"/>
      <c r="Q6" s="71"/>
      <c r="R6" s="71"/>
      <c r="S6" s="183"/>
      <c r="T6" s="229"/>
      <c r="U6" s="213" t="e">
        <f t="shared" si="2"/>
        <v>#REF!</v>
      </c>
      <c r="V6" s="172">
        <v>0</v>
      </c>
      <c r="W6" s="172" t="e">
        <f>G6*#REF!</f>
        <v>#REF!</v>
      </c>
      <c r="X6" s="172"/>
      <c r="Y6" s="72">
        <f>IF(P6="węgiel",U6*#REF!,IF(P6="gaz",U6*#REF!,IF(P6="drewno",U6*#REF!,IF(P6="pelet",U6*#REF!,IF(P6="olej opałowy",U6*#REF!,IF(P6="sieć ciepłownicza",0,IF(P6="prąd",0,0)))))))</f>
        <v>0</v>
      </c>
      <c r="Z6" s="62">
        <f>IF(P6="węgiel",U6*#REF!,IF(P6="gaz",U6*#REF!,IF(P6="drewno",U6*#REF!,IF(P6="pelet",U6*#REF!,IF(P6="olej opałowy",U6*#REF!,IF(P6="sieć ciepłownicza",0,IF(P6="prąd",0,0)))))))</f>
        <v>0</v>
      </c>
      <c r="AA6" s="62" t="e">
        <f>U6*0.09</f>
        <v>#REF!</v>
      </c>
      <c r="AB6" s="62">
        <f>IF(P6="węgiel",U6*#REF!,IF(P6="gaz",U6*#REF!,IF(P6="drewno",U6*#REF!,IF(P6="pelet",U6*#REF!,IF(P6="olej opałowy",U6*#REF!,IF(P6="sieć ciepłownicza",0,IF(P6="prąd",0,0)))))))</f>
        <v>0</v>
      </c>
      <c r="AC6" s="72">
        <f>IF(P6="węgiel",U6*#REF!, IF(P6="gaz",U6*#REF!,IF(P6="drewno",U6*#REF!,IF(P6="pelet",U6*#REF!,IF(P6="olej opałowy",U6*#REF!,IF(P6="sieć ciepłownicza",0,IF(P6="prąd",0,0)))))))</f>
        <v>0</v>
      </c>
      <c r="AD6" s="62">
        <f>IF(P6="węgiel",U6*#REF!, IF(P6="gaz",U6*#REF!, IF(P6="drewno",U6*#REF!,IF(P6="pelet",U6*#REF!,IF(P6="olej opałowy",U6*#REF!,IF(P6="sieć ciepłownicza",0,IF(P6="prąd",0,0)))))))</f>
        <v>0</v>
      </c>
      <c r="AE6" s="62">
        <f>IF(P6="węgiel",U6*#REF!,IF(P6="gaz",U6*#REF!, IF(P6="drewno",U6*#REF!,IF(P6="pelet",U6*#REF!,IF(P6="pelet",U6*#REF!,IF(P6="olej opałowy",U6*#REF!,IF(P6="sieć ciepłownicza",0,IF(P6="prąd",0,0))))))))</f>
        <v>0</v>
      </c>
      <c r="AF6" s="62">
        <v>0</v>
      </c>
      <c r="AG6" s="62">
        <v>0</v>
      </c>
      <c r="AH6" s="62">
        <v>0</v>
      </c>
      <c r="AI6" s="62">
        <v>0</v>
      </c>
      <c r="AJ6" s="62">
        <v>0</v>
      </c>
      <c r="AK6" s="62">
        <v>0</v>
      </c>
      <c r="AL6" s="62">
        <v>0</v>
      </c>
      <c r="AM6" s="172" t="e">
        <f>U6</f>
        <v>#REF!</v>
      </c>
      <c r="AN6" s="172"/>
      <c r="AO6" s="172"/>
      <c r="AP6" s="62" t="b">
        <v>0</v>
      </c>
      <c r="AQ6" s="172">
        <f t="shared" ref="AQ6:AQ8" si="7">Y6</f>
        <v>0</v>
      </c>
      <c r="AR6" s="172">
        <f t="shared" ref="AR6:AR8" si="8">Z6</f>
        <v>0</v>
      </c>
      <c r="AS6" s="172"/>
      <c r="AT6" s="214">
        <f t="shared" ref="AT6:AT8" si="9">AB6</f>
        <v>0</v>
      </c>
      <c r="AU6" s="214">
        <f t="shared" ref="AU6:AU8" si="10">AC6</f>
        <v>0</v>
      </c>
      <c r="AV6" s="214">
        <f t="shared" ref="AV6:AV8" si="11">AD6</f>
        <v>0</v>
      </c>
      <c r="AW6" s="214">
        <f t="shared" ref="AW6:AW8" si="12">AE6</f>
        <v>0</v>
      </c>
      <c r="AX6" s="69"/>
      <c r="AY6" s="73"/>
      <c r="AZ6" s="73"/>
      <c r="BA6" s="73"/>
      <c r="BB6" s="73"/>
      <c r="BC6" s="73"/>
      <c r="BD6" s="73"/>
      <c r="BE6" s="73"/>
      <c r="BF6" s="74"/>
      <c r="BH6" s="215">
        <f>IF(G6&lt;=1966,H6)</f>
        <v>0</v>
      </c>
      <c r="BI6" s="216" t="b">
        <f>IF(O6="kompletna",BH6,IF(O6="częściowa",0.5*BH6))</f>
        <v>0</v>
      </c>
      <c r="BJ6" s="216" t="b">
        <f>IF(G6&gt;1966,IF(G6&lt;=1985,H6))</f>
        <v>0</v>
      </c>
      <c r="BK6" s="216" t="b">
        <f>IF(O6="kompletna",BJ6,IF(O6="częściowa",0.5*BJ6))</f>
        <v>0</v>
      </c>
      <c r="BL6" s="216" t="b">
        <f>IF(G6&gt;1985,IF(G6&lt;=1992,H6))</f>
        <v>0</v>
      </c>
      <c r="BM6" s="216" t="b">
        <f>IF(O6="kompletna",BL6,IF(O6="częściowa",0.5*BL6))</f>
        <v>0</v>
      </c>
      <c r="BN6" s="216" t="b">
        <f>IF(G6&gt;1992,IF(G6&lt;=1996,H6))</f>
        <v>0</v>
      </c>
      <c r="BO6" s="216" t="b">
        <f>IF(O6="kompletna",BN6,IF(O6="częściowa",0.5*BN6))</f>
        <v>0</v>
      </c>
      <c r="BP6" s="216" t="b">
        <f>IF(G6&gt;1996,IF(G6&lt;=2014,H6))</f>
        <v>0</v>
      </c>
      <c r="BQ6" s="217" t="b">
        <f>IF(O6="kompletna",BP6,IF(O6="częściowa",0.5*BP6))</f>
        <v>0</v>
      </c>
      <c r="BR6" s="218" t="b">
        <f>IF(P6="węgiel",X6)</f>
        <v>0</v>
      </c>
      <c r="BS6" s="218" t="b">
        <f t="shared" ref="BS6:BS7" si="13">IF(P6="gaz",U6)</f>
        <v>0</v>
      </c>
      <c r="BT6" s="218" t="b">
        <f>IF(P6="drewno",X6)</f>
        <v>0</v>
      </c>
      <c r="BU6" s="218" t="b">
        <f>IF(P6="pelet",X6)</f>
        <v>0</v>
      </c>
      <c r="BV6" s="218" t="b">
        <f>IF(P6="olej opałowy",X6)</f>
        <v>0</v>
      </c>
      <c r="BW6" s="218" t="b">
        <f t="shared" ref="BW6:BW7" si="14">IF(P6="prąd",U6)</f>
        <v>0</v>
      </c>
      <c r="BX6" s="218" t="b">
        <f>IF(P6="sieć ciepłownicza",X6)</f>
        <v>0</v>
      </c>
      <c r="BY6" s="219" t="b">
        <f>IF(T6="węgiel",W6)</f>
        <v>0</v>
      </c>
      <c r="BZ6" s="218" t="b">
        <f>IF(T6="gaz",W6)</f>
        <v>0</v>
      </c>
      <c r="CA6" s="218" t="b">
        <f>IF(T6="drewno",W6)</f>
        <v>0</v>
      </c>
      <c r="CB6" s="218" t="b">
        <f>IF(T6="pelet",W6)</f>
        <v>0</v>
      </c>
      <c r="CC6" s="218" t="b">
        <f>IF(T6="olej opałowy",W6)</f>
        <v>0</v>
      </c>
      <c r="CD6" s="220" t="b">
        <f>IF(T6="prąd",W6)</f>
        <v>0</v>
      </c>
      <c r="CE6" s="218" t="b">
        <f>IF(P6="sieć ciepłownicza",W6)</f>
        <v>0</v>
      </c>
      <c r="CF6" s="219" t="b">
        <f>IF(P6="węgiel",U6)</f>
        <v>0</v>
      </c>
      <c r="CG6" s="218" t="b">
        <f>IF(P6="sieć ciepłownicza",U6)</f>
        <v>0</v>
      </c>
      <c r="CH6" s="218" t="b">
        <f>IF(P6="gaz",U6)</f>
        <v>0</v>
      </c>
      <c r="CI6" s="218" t="b">
        <f>IF(P6="drewno",U6)</f>
        <v>0</v>
      </c>
      <c r="CJ6" s="218" t="b">
        <f>IF(P6="pelet",U6)</f>
        <v>0</v>
      </c>
      <c r="CK6" s="218" t="b">
        <f>IF(P6="olej opałowy",U6)</f>
        <v>0</v>
      </c>
      <c r="CL6" s="220" t="b">
        <f>IF(P6="prąd",AO6)</f>
        <v>0</v>
      </c>
    </row>
    <row r="7" spans="1:91" ht="8.25">
      <c r="A7" s="210">
        <v>3</v>
      </c>
      <c r="B7" s="70"/>
      <c r="C7" s="70" t="b">
        <f t="shared" si="6"/>
        <v>0</v>
      </c>
      <c r="D7" s="211"/>
      <c r="E7" s="171"/>
      <c r="F7" s="211"/>
      <c r="G7" s="71"/>
      <c r="H7" s="71"/>
      <c r="I7" s="69"/>
      <c r="J7" s="69"/>
      <c r="K7" s="71"/>
      <c r="L7" s="71"/>
      <c r="M7" s="71"/>
      <c r="N7" s="71">
        <v>290</v>
      </c>
      <c r="O7" s="212"/>
      <c r="P7" s="229"/>
      <c r="Q7" s="71"/>
      <c r="R7" s="71"/>
      <c r="S7" s="183"/>
      <c r="T7" s="229"/>
      <c r="U7" s="213" t="e">
        <f t="shared" si="2"/>
        <v>#REF!</v>
      </c>
      <c r="V7" s="172">
        <f>IF(O7="kompletna",N7*H7*0.0036*#REF!,0)</f>
        <v>0</v>
      </c>
      <c r="W7" s="172" t="e">
        <f>G7*#REF!</f>
        <v>#REF!</v>
      </c>
      <c r="X7" s="172"/>
      <c r="Y7" s="72">
        <f>IF(P7="węgiel",U7*#REF!,IF(P7="gaz",U7*#REF!,IF(P7="drewno",U7*#REF!,IF(P7="pelet",U7*#REF!,IF(P7="olej opałowy",U7*#REF!,IF(P7="sieć ciepłownicza",0,IF(P7="prąd",0,0)))))))</f>
        <v>0</v>
      </c>
      <c r="Z7" s="62">
        <f>IF(P7="węgiel",U7*#REF!,IF(P7="gaz",U7*#REF!,IF(P7="drewno",U7*#REF!,IF(P7="pelet",U7*#REF!,IF(P7="olej opałowy",U7*#REF!,IF(P7="sieć ciepłownicza",0,IF(P7="prąd",0,0)))))))</f>
        <v>0</v>
      </c>
      <c r="AA7" s="62" t="e">
        <f>U7*0.09</f>
        <v>#REF!</v>
      </c>
      <c r="AB7" s="62">
        <f>IF(P7="węgiel",U7*#REF!,IF(P7="gaz",U7*#REF!,IF(P7="drewno",U7*#REF!,IF(P7="pelet",U7*#REF!,IF(P7="olej opałowy",U7*#REF!,IF(P7="sieć ciepłownicza",0,IF(P7="prąd",0,0)))))))</f>
        <v>0</v>
      </c>
      <c r="AC7" s="72">
        <f>IF(P7="węgiel",U7*#REF!, IF(P7="gaz",U7*#REF!,IF(P7="drewno",U7*#REF!,IF(P7="pelet",U7*#REF!,IF(P7="olej opałowy",U7*#REF!,IF(P7="sieć ciepłownicza",0,IF(P7="prąd",0,0)))))))</f>
        <v>0</v>
      </c>
      <c r="AD7" s="62">
        <f>IF(P7="węgiel",U7*#REF!, IF(P7="gaz",U7*#REF!, IF(P7="drewno",U7*#REF!,IF(P7="pelet",U7*#REF!,IF(P7="olej opałowy",U7*#REF!,IF(P7="sieć ciepłownicza",0,IF(P7="prąd",0,0)))))))</f>
        <v>0</v>
      </c>
      <c r="AE7" s="62">
        <f>IF(P7="węgiel",U7*#REF!,IF(P7="gaz",U7*#REF!, IF(P7="drewno",U7*#REF!,IF(P7="pelet",U7*#REF!,IF(P7="pelet",U7*#REF!,IF(P7="olej opałowy",U7*#REF!,IF(P7="sieć ciepłownicza",0,IF(P7="prąd",0,0))))))))</f>
        <v>0</v>
      </c>
      <c r="AF7" s="62">
        <v>0</v>
      </c>
      <c r="AG7" s="62">
        <v>0</v>
      </c>
      <c r="AH7" s="62">
        <v>0</v>
      </c>
      <c r="AI7" s="62">
        <v>0</v>
      </c>
      <c r="AJ7" s="62">
        <v>0</v>
      </c>
      <c r="AK7" s="62">
        <v>0</v>
      </c>
      <c r="AL7" s="62">
        <v>0</v>
      </c>
      <c r="AM7" s="172" t="e">
        <f>U7</f>
        <v>#REF!</v>
      </c>
      <c r="AN7" s="172"/>
      <c r="AO7" s="172"/>
      <c r="AP7" s="62" t="b">
        <v>0</v>
      </c>
      <c r="AQ7" s="172">
        <f t="shared" ref="AQ7" si="15">Y7</f>
        <v>0</v>
      </c>
      <c r="AR7" s="172">
        <f t="shared" ref="AR7" si="16">Z7</f>
        <v>0</v>
      </c>
      <c r="AS7" s="172"/>
      <c r="AT7" s="214">
        <f t="shared" ref="AT7" si="17">AB7</f>
        <v>0</v>
      </c>
      <c r="AU7" s="214">
        <f t="shared" ref="AU7" si="18">AC7</f>
        <v>0</v>
      </c>
      <c r="AV7" s="214">
        <f t="shared" ref="AV7" si="19">AD7</f>
        <v>0</v>
      </c>
      <c r="AW7" s="214">
        <f t="shared" ref="AW7" si="20">AE7</f>
        <v>0</v>
      </c>
      <c r="AX7" s="69"/>
      <c r="AY7" s="73"/>
      <c r="AZ7" s="73"/>
      <c r="BA7" s="73"/>
      <c r="BB7" s="73"/>
      <c r="BC7" s="73"/>
      <c r="BD7" s="73"/>
      <c r="BE7" s="73"/>
      <c r="BF7" s="74"/>
      <c r="BH7" s="215">
        <f>IF(G7&lt;=1966,H7)</f>
        <v>0</v>
      </c>
      <c r="BI7" s="216" t="b">
        <f>IF(O7="kompletna",BH7,IF(O7="częściowa",0.5*BH7))</f>
        <v>0</v>
      </c>
      <c r="BJ7" s="216" t="b">
        <f>IF(G7&gt;1966,IF(G7&lt;=1985,H7))</f>
        <v>0</v>
      </c>
      <c r="BK7" s="216" t="b">
        <f>IF(O7="kompletna",BJ7,IF(O7="częściowa",0.5*BJ7))</f>
        <v>0</v>
      </c>
      <c r="BL7" s="216" t="b">
        <f>IF(G7&gt;1985,IF(G7&lt;=1992,H7))</f>
        <v>0</v>
      </c>
      <c r="BM7" s="216" t="b">
        <f>IF(O7="kompletna",BL7,IF(O7="częściowa",0.5*BL7))</f>
        <v>0</v>
      </c>
      <c r="BN7" s="216" t="b">
        <f>IF(G7&gt;1992,IF(G7&lt;=1996,H7))</f>
        <v>0</v>
      </c>
      <c r="BO7" s="216" t="b">
        <f>IF(O7="kompletna",BN7,IF(O7="częściowa",0.5*BN7))</f>
        <v>0</v>
      </c>
      <c r="BP7" s="216" t="b">
        <f>IF(G7&gt;1996,IF(G7&lt;=2014,H7))</f>
        <v>0</v>
      </c>
      <c r="BQ7" s="217" t="b">
        <f>IF(O7="kompletna",BP7,IF(O7="częściowa",0.5*BP7))</f>
        <v>0</v>
      </c>
      <c r="BR7" s="218" t="b">
        <f>IF(P7="węgiel",X7)</f>
        <v>0</v>
      </c>
      <c r="BS7" s="218" t="b">
        <f t="shared" si="13"/>
        <v>0</v>
      </c>
      <c r="BT7" s="218" t="b">
        <f>IF(P7="drewno",X7)</f>
        <v>0</v>
      </c>
      <c r="BU7" s="218" t="b">
        <f>IF(P7="pelet",X7)</f>
        <v>0</v>
      </c>
      <c r="BV7" s="218" t="b">
        <f>IF(P7="olej opałowy",X7)</f>
        <v>0</v>
      </c>
      <c r="BW7" s="218" t="b">
        <f t="shared" si="14"/>
        <v>0</v>
      </c>
      <c r="BX7" s="218" t="b">
        <f>IF(P7="sieć ciepłownicza",X7)</f>
        <v>0</v>
      </c>
      <c r="BY7" s="219" t="b">
        <f>IF(T7="węgiel",W7)</f>
        <v>0</v>
      </c>
      <c r="BZ7" s="218" t="b">
        <f>IF(T7="gaz",W7)</f>
        <v>0</v>
      </c>
      <c r="CA7" s="218" t="b">
        <f>IF(T7="drewno",W7)</f>
        <v>0</v>
      </c>
      <c r="CB7" s="218" t="b">
        <f>IF(T7="pelet",W7)</f>
        <v>0</v>
      </c>
      <c r="CC7" s="218" t="b">
        <f>IF(T7="olej opałowy",W7)</f>
        <v>0</v>
      </c>
      <c r="CD7" s="220" t="b">
        <f>IF(T7="prąd",W7)</f>
        <v>0</v>
      </c>
      <c r="CE7" s="218" t="b">
        <f>IF(P7="sieć ciepłownicza",W7)</f>
        <v>0</v>
      </c>
      <c r="CF7" s="219" t="b">
        <f>IF(P7="węgiel",U7)</f>
        <v>0</v>
      </c>
      <c r="CG7" s="218" t="b">
        <f>IF(P7="sieć ciepłownicza",U7)</f>
        <v>0</v>
      </c>
      <c r="CH7" s="218" t="b">
        <f>IF(P7="gaz",U7)</f>
        <v>0</v>
      </c>
      <c r="CI7" s="218" t="b">
        <f>IF(P7="drewno",U7)</f>
        <v>0</v>
      </c>
      <c r="CJ7" s="218" t="b">
        <f>IF(P7="pelet",U7)</f>
        <v>0</v>
      </c>
      <c r="CK7" s="218" t="b">
        <f>IF(P7="olej opałowy",U7)</f>
        <v>0</v>
      </c>
      <c r="CL7" s="220" t="b">
        <f>IF(P7="prąd",AO7)</f>
        <v>0</v>
      </c>
    </row>
    <row r="8" spans="1:91" ht="8.25">
      <c r="A8" s="210"/>
      <c r="B8" s="70"/>
      <c r="C8" s="70" t="b">
        <f t="shared" ref="C8" si="21">IF(ISTEXT(D8),1)</f>
        <v>0</v>
      </c>
      <c r="D8" s="211"/>
      <c r="E8" s="171"/>
      <c r="F8" s="211"/>
      <c r="G8" s="71"/>
      <c r="H8" s="71"/>
      <c r="I8" s="69"/>
      <c r="J8" s="69"/>
      <c r="K8" s="71"/>
      <c r="L8" s="71"/>
      <c r="M8" s="71"/>
      <c r="N8" s="71">
        <v>290</v>
      </c>
      <c r="O8" s="212"/>
      <c r="P8" s="229"/>
      <c r="Q8" s="71"/>
      <c r="R8" s="71"/>
      <c r="S8" s="183"/>
      <c r="T8" s="229"/>
      <c r="U8" s="213" t="e">
        <f t="shared" si="2"/>
        <v>#REF!</v>
      </c>
      <c r="V8" s="172">
        <f>IF(O8="kompletna",N8*H8*0.0036*#REF!,0)</f>
        <v>0</v>
      </c>
      <c r="W8" s="172" t="e">
        <f>G8*#REF!</f>
        <v>#REF!</v>
      </c>
      <c r="X8" s="172"/>
      <c r="Y8" s="72">
        <f>IF(P8="węgiel",U8*#REF!,IF(P8="gaz",U8*#REF!,IF(P8="drewno",U8*#REF!,IF(P8="pelet",U8*#REF!,IF(P8="olej opałowy",U8*#REF!,IF(P8="sieć ciepłownicza",0,IF(P8="prąd",0,0)))))))</f>
        <v>0</v>
      </c>
      <c r="Z8" s="62">
        <f>IF(P8="węgiel",U8*#REF!,IF(P8="gaz",U8*#REF!,IF(P8="drewno",U8*#REF!,IF(P8="pelet",U8*#REF!,IF(P8="olej opałowy",U8*#REF!,IF(P8="sieć ciepłownicza",0,IF(P8="prąd",0,0)))))))</f>
        <v>0</v>
      </c>
      <c r="AA8" s="62">
        <f>IF(P8="węgiel",P8*#REF!,IF(P8="gaz",U8*#REF!,IF(P8="drewno",U8*#REF!,IF(P8="pelet",U8*#REF!,IF(P8="olej opałowy",U8*#REF!,IF(P8="sieć ciepłownicza",U8*#REF!,IF(P8="prąd",0,0)))))))</f>
        <v>0</v>
      </c>
      <c r="AB8" s="62">
        <f>IF(P8="węgiel",U8*#REF!,IF(P8="gaz",U8*#REF!,IF(P8="drewno",U8*#REF!,IF(P8="pelet",U8*#REF!,IF(P8="olej opałowy",U8*#REF!,IF(P8="sieć ciepłownicza",0,IF(P8="prąd",0,0)))))))</f>
        <v>0</v>
      </c>
      <c r="AC8" s="72">
        <f>IF(P8="węgiel",U8*#REF!, IF(P8="gaz",U8*#REF!,IF(P8="drewno",U8*#REF!,IF(P8="pelet",U8*#REF!,IF(P8="olej opałowy",U8*#REF!,IF(P8="sieć ciepłownicza",0,IF(P8="prąd",0,0)))))))</f>
        <v>0</v>
      </c>
      <c r="AD8" s="62">
        <f>IF(P8="węgiel",U8*#REF!, IF(P8="gaz",U8*#REF!, IF(P8="drewno",U8*#REF!,IF(P8="pelet",U8*#REF!,IF(P8="olej opałowy",U8*#REF!,IF(P8="sieć ciepłownicza",0,IF(P8="prąd",0,0)))))))</f>
        <v>0</v>
      </c>
      <c r="AE8" s="62">
        <f>IF(P8="węgiel",U8*#REF!,IF(P8="gaz",U8*#REF!, IF(P8="drewno",U8*#REF!,IF(P8="pelet",U8*#REF!,IF(P8="pelet",U8*#REF!,IF(P8="olej opałowy",U8*#REF!,IF(P8="sieć ciepłownicza",0,IF(P8="prąd",0,0))))))))</f>
        <v>0</v>
      </c>
      <c r="AF8" s="62">
        <v>0</v>
      </c>
      <c r="AG8" s="62">
        <v>0</v>
      </c>
      <c r="AH8" s="62">
        <v>0</v>
      </c>
      <c r="AI8" s="62">
        <v>0</v>
      </c>
      <c r="AJ8" s="62">
        <v>0</v>
      </c>
      <c r="AK8" s="62">
        <v>0</v>
      </c>
      <c r="AL8" s="62">
        <v>0</v>
      </c>
      <c r="AM8" s="172" t="e">
        <f>U8</f>
        <v>#REF!</v>
      </c>
      <c r="AN8" s="172"/>
      <c r="AO8" s="172"/>
      <c r="AP8" s="62" t="b">
        <v>0</v>
      </c>
      <c r="AQ8" s="172">
        <f t="shared" si="7"/>
        <v>0</v>
      </c>
      <c r="AR8" s="172">
        <f t="shared" si="8"/>
        <v>0</v>
      </c>
      <c r="AS8" s="172"/>
      <c r="AT8" s="214">
        <f t="shared" si="9"/>
        <v>0</v>
      </c>
      <c r="AU8" s="214">
        <f t="shared" si="10"/>
        <v>0</v>
      </c>
      <c r="AV8" s="214">
        <f t="shared" si="11"/>
        <v>0</v>
      </c>
      <c r="AW8" s="214">
        <f t="shared" si="12"/>
        <v>0</v>
      </c>
      <c r="AX8" s="69"/>
      <c r="AY8" s="73"/>
      <c r="AZ8" s="73"/>
      <c r="BA8" s="73"/>
      <c r="BB8" s="73"/>
      <c r="BC8" s="73"/>
      <c r="BD8" s="73"/>
      <c r="BE8" s="73"/>
      <c r="BF8" s="74"/>
      <c r="BH8" s="215">
        <f>IF(G8&lt;=1966,H8)</f>
        <v>0</v>
      </c>
      <c r="BI8" s="216" t="b">
        <f>IF(O8="kompletna",BH8,IF(O8="częściowa",0.5*BH8))</f>
        <v>0</v>
      </c>
      <c r="BJ8" s="216" t="b">
        <f>IF(G8&gt;1966,IF(G8&lt;=1985,H8))</f>
        <v>0</v>
      </c>
      <c r="BK8" s="216" t="b">
        <f>IF(O8="kompletna",BJ8,IF(O8="częściowa",0.5*BJ8))</f>
        <v>0</v>
      </c>
      <c r="BL8" s="216" t="b">
        <f>IF(G8&gt;1985,IF(G8&lt;=1992,H8))</f>
        <v>0</v>
      </c>
      <c r="BM8" s="216" t="b">
        <f>IF(O8="kompletna",BL8,IF(O8="częściowa",0.5*BL8))</f>
        <v>0</v>
      </c>
      <c r="BN8" s="216" t="b">
        <f>IF(G8&gt;1992,IF(G8&lt;=1996,H8))</f>
        <v>0</v>
      </c>
      <c r="BO8" s="216" t="b">
        <f>IF(O8="kompletna",BN8,IF(O8="częściowa",0.5*BN8))</f>
        <v>0</v>
      </c>
      <c r="BP8" s="216" t="b">
        <f>IF(G8&gt;1996,IF(G8&lt;=2014,H8))</f>
        <v>0</v>
      </c>
      <c r="BQ8" s="217" t="b">
        <f>IF(O8="kompletna",BP8,IF(O8="częściowa",0.5*BP8))</f>
        <v>0</v>
      </c>
      <c r="BR8" s="218" t="b">
        <f>IF(P8="węgiel",X8)</f>
        <v>0</v>
      </c>
      <c r="BS8" s="218" t="b">
        <f t="shared" ref="BS8" si="22">IF(P8="gaz",U8)</f>
        <v>0</v>
      </c>
      <c r="BT8" s="218" t="b">
        <f>IF(P8="drewno",X8)</f>
        <v>0</v>
      </c>
      <c r="BU8" s="218" t="b">
        <f>IF(P8="pelet",X8)</f>
        <v>0</v>
      </c>
      <c r="BV8" s="218" t="b">
        <f>IF(P8="olej opałowy",X8)</f>
        <v>0</v>
      </c>
      <c r="BW8" s="218" t="b">
        <f t="shared" ref="BW8" si="23">IF(P8="prąd",U8)</f>
        <v>0</v>
      </c>
      <c r="BX8" s="218" t="b">
        <f>IF(P8="sieć ciepłownicza",X8)</f>
        <v>0</v>
      </c>
      <c r="BY8" s="219" t="b">
        <f>IF(T8="węgiel",W8)</f>
        <v>0</v>
      </c>
      <c r="BZ8" s="218" t="b">
        <f>IF(T8="gaz",W8)</f>
        <v>0</v>
      </c>
      <c r="CA8" s="218" t="b">
        <f>IF(T8="drewno",W8)</f>
        <v>0</v>
      </c>
      <c r="CB8" s="218" t="b">
        <f>IF(T8="pelet",W8)</f>
        <v>0</v>
      </c>
      <c r="CC8" s="218" t="b">
        <f>IF(T8="olej opałowy",W8)</f>
        <v>0</v>
      </c>
      <c r="CD8" s="220" t="b">
        <f>IF(T8="prąd",W8)</f>
        <v>0</v>
      </c>
      <c r="CE8" s="218" t="b">
        <f>IF(P8="sieć ciepłownicza",W8)</f>
        <v>0</v>
      </c>
      <c r="CF8" s="219" t="b">
        <f>IF(P8="węgiel",U8)</f>
        <v>0</v>
      </c>
      <c r="CG8" s="218" t="b">
        <f>IF(P8="sieć ciepłownicza",U8)</f>
        <v>0</v>
      </c>
      <c r="CH8" s="218" t="b">
        <f>IF(P8="gaz",U8)</f>
        <v>0</v>
      </c>
      <c r="CI8" s="218" t="b">
        <f>IF(P8="drewno",U8)</f>
        <v>0</v>
      </c>
      <c r="CJ8" s="218" t="b">
        <f>IF(P8="pelet",U8)</f>
        <v>0</v>
      </c>
      <c r="CK8" s="218" t="b">
        <f>IF(P8="olej opałowy",U8)</f>
        <v>0</v>
      </c>
      <c r="CL8" s="220" t="b">
        <f>IF(P8="prąd",AO8)</f>
        <v>0</v>
      </c>
    </row>
    <row r="9" spans="1:91" ht="12.75" customHeight="1" thickBot="1">
      <c r="A9" s="749" t="s">
        <v>270</v>
      </c>
      <c r="B9" s="749"/>
      <c r="C9" s="749"/>
      <c r="D9" s="749"/>
      <c r="E9" s="749"/>
      <c r="F9" s="749"/>
      <c r="G9" s="749"/>
      <c r="H9" s="749"/>
      <c r="I9" s="749"/>
      <c r="J9" s="749"/>
      <c r="K9" s="749"/>
      <c r="L9" s="749"/>
      <c r="M9" s="749"/>
      <c r="N9" s="749"/>
      <c r="O9" s="749"/>
      <c r="P9" s="749"/>
      <c r="Q9" s="749"/>
      <c r="R9" s="749"/>
      <c r="S9" s="749"/>
      <c r="T9" s="749"/>
      <c r="U9" s="62" t="e">
        <f>SUM(U5:U8)</f>
        <v>#REF!</v>
      </c>
      <c r="V9" s="62">
        <f t="shared" ref="V9:AM9" si="24">SUM(V8:V8)</f>
        <v>0</v>
      </c>
      <c r="W9" s="62" t="e">
        <f t="shared" si="24"/>
        <v>#REF!</v>
      </c>
      <c r="X9" s="62">
        <f t="shared" si="24"/>
        <v>0</v>
      </c>
      <c r="Y9" s="62">
        <f>SUM(Y5:Y8)</f>
        <v>0</v>
      </c>
      <c r="Z9" s="62">
        <f t="shared" ref="Z9:AE9" si="25">SUM(Z5:Z8)</f>
        <v>0</v>
      </c>
      <c r="AA9" s="62" t="e">
        <f t="shared" si="25"/>
        <v>#REF!</v>
      </c>
      <c r="AB9" s="62">
        <f t="shared" si="25"/>
        <v>0</v>
      </c>
      <c r="AC9" s="62">
        <f t="shared" si="25"/>
        <v>0</v>
      </c>
      <c r="AD9" s="62">
        <f t="shared" si="25"/>
        <v>0</v>
      </c>
      <c r="AE9" s="62">
        <f t="shared" si="25"/>
        <v>0</v>
      </c>
      <c r="AF9" s="62">
        <f t="shared" si="24"/>
        <v>0</v>
      </c>
      <c r="AG9" s="62">
        <f t="shared" si="24"/>
        <v>0</v>
      </c>
      <c r="AH9" s="62">
        <f t="shared" si="24"/>
        <v>0</v>
      </c>
      <c r="AI9" s="62">
        <f t="shared" si="24"/>
        <v>0</v>
      </c>
      <c r="AJ9" s="62">
        <f t="shared" si="24"/>
        <v>0</v>
      </c>
      <c r="AK9" s="62">
        <f t="shared" si="24"/>
        <v>0</v>
      </c>
      <c r="AL9" s="62">
        <f t="shared" si="24"/>
        <v>0</v>
      </c>
      <c r="AM9" s="62" t="e">
        <f t="shared" si="24"/>
        <v>#REF!</v>
      </c>
      <c r="AN9" s="62"/>
      <c r="AO9" s="62">
        <f>SUM(AO5:AO8)</f>
        <v>0</v>
      </c>
      <c r="AP9" s="62">
        <f t="shared" ref="AP9" si="26">SUM(AP8:AP8)</f>
        <v>0</v>
      </c>
      <c r="AQ9" s="62">
        <f>SUM(AQ5:AQ8)</f>
        <v>0</v>
      </c>
      <c r="AR9" s="62">
        <f t="shared" ref="AR9:AW9" si="27">SUM(AR5:AR8)</f>
        <v>0</v>
      </c>
      <c r="AS9" s="62">
        <f t="shared" si="27"/>
        <v>0</v>
      </c>
      <c r="AT9" s="62">
        <f t="shared" si="27"/>
        <v>0</v>
      </c>
      <c r="AU9" s="62">
        <f t="shared" si="27"/>
        <v>0</v>
      </c>
      <c r="AV9" s="62">
        <f t="shared" si="27"/>
        <v>0</v>
      </c>
      <c r="AW9" s="62">
        <f t="shared" si="27"/>
        <v>0</v>
      </c>
      <c r="AX9" s="69"/>
      <c r="AY9" s="69"/>
      <c r="AZ9" s="69"/>
      <c r="BA9" s="69"/>
      <c r="BB9" s="69"/>
      <c r="BC9" s="69"/>
      <c r="BD9" s="69"/>
      <c r="BE9" s="69"/>
      <c r="BF9" s="258"/>
      <c r="BH9" s="221">
        <f t="shared" ref="BH9:CL9" si="28">SUM(BH8:BH8)</f>
        <v>0</v>
      </c>
      <c r="BI9" s="221">
        <f t="shared" si="28"/>
        <v>0</v>
      </c>
      <c r="BJ9" s="221">
        <f t="shared" si="28"/>
        <v>0</v>
      </c>
      <c r="BK9" s="221">
        <f t="shared" si="28"/>
        <v>0</v>
      </c>
      <c r="BL9" s="221">
        <f t="shared" si="28"/>
        <v>0</v>
      </c>
      <c r="BM9" s="221">
        <f t="shared" si="28"/>
        <v>0</v>
      </c>
      <c r="BN9" s="221">
        <f t="shared" si="28"/>
        <v>0</v>
      </c>
      <c r="BO9" s="221">
        <f t="shared" si="28"/>
        <v>0</v>
      </c>
      <c r="BP9" s="221">
        <f t="shared" si="28"/>
        <v>0</v>
      </c>
      <c r="BQ9" s="221">
        <f t="shared" si="28"/>
        <v>0</v>
      </c>
      <c r="BR9" s="221">
        <f t="shared" si="28"/>
        <v>0</v>
      </c>
      <c r="BS9" s="221">
        <f t="shared" si="28"/>
        <v>0</v>
      </c>
      <c r="BT9" s="221">
        <f t="shared" si="28"/>
        <v>0</v>
      </c>
      <c r="BU9" s="221">
        <f t="shared" si="28"/>
        <v>0</v>
      </c>
      <c r="BV9" s="221">
        <f t="shared" si="28"/>
        <v>0</v>
      </c>
      <c r="BW9" s="221">
        <f t="shared" si="28"/>
        <v>0</v>
      </c>
      <c r="BX9" s="221">
        <f t="shared" si="28"/>
        <v>0</v>
      </c>
      <c r="BY9" s="221">
        <f t="shared" si="28"/>
        <v>0</v>
      </c>
      <c r="BZ9" s="221">
        <f t="shared" si="28"/>
        <v>0</v>
      </c>
      <c r="CA9" s="221">
        <f t="shared" si="28"/>
        <v>0</v>
      </c>
      <c r="CB9" s="221">
        <f t="shared" si="28"/>
        <v>0</v>
      </c>
      <c r="CC9" s="221">
        <f t="shared" si="28"/>
        <v>0</v>
      </c>
      <c r="CD9" s="221">
        <f t="shared" si="28"/>
        <v>0</v>
      </c>
      <c r="CE9" s="221">
        <f t="shared" si="28"/>
        <v>0</v>
      </c>
      <c r="CF9" s="221">
        <f t="shared" si="28"/>
        <v>0</v>
      </c>
      <c r="CG9" s="221">
        <f t="shared" si="28"/>
        <v>0</v>
      </c>
      <c r="CH9" s="221">
        <f t="shared" si="28"/>
        <v>0</v>
      </c>
      <c r="CI9" s="221">
        <f t="shared" si="28"/>
        <v>0</v>
      </c>
      <c r="CJ9" s="221">
        <f t="shared" si="28"/>
        <v>0</v>
      </c>
      <c r="CK9" s="221">
        <f t="shared" si="28"/>
        <v>0</v>
      </c>
      <c r="CL9" s="221">
        <f t="shared" si="28"/>
        <v>0</v>
      </c>
      <c r="CM9" s="222">
        <f>SUM(CF9:CL9)</f>
        <v>0</v>
      </c>
    </row>
    <row r="10" spans="1:91" ht="17.25" customHeight="1">
      <c r="AM10" s="68"/>
      <c r="AQ10" s="259">
        <f>AQ9</f>
        <v>0</v>
      </c>
      <c r="AR10" s="259">
        <f t="shared" ref="AR10:AW10" si="29">AR9</f>
        <v>0</v>
      </c>
      <c r="AS10" s="259">
        <f>AS9/100</f>
        <v>0</v>
      </c>
      <c r="AT10" s="259">
        <f>AT9*1000</f>
        <v>0</v>
      </c>
      <c r="AU10" s="259">
        <f t="shared" si="29"/>
        <v>0</v>
      </c>
      <c r="AV10" s="259">
        <f t="shared" si="29"/>
        <v>0</v>
      </c>
      <c r="AW10" s="259">
        <f t="shared" si="29"/>
        <v>0</v>
      </c>
      <c r="BH10" s="83" t="e">
        <f>BH9/$F$372</f>
        <v>#DIV/0!</v>
      </c>
      <c r="BI10" s="83" t="e">
        <f>BI9/BH9</f>
        <v>#DIV/0!</v>
      </c>
      <c r="BJ10" s="83" t="e">
        <f>BJ9/$F$372</f>
        <v>#DIV/0!</v>
      </c>
      <c r="BK10" s="83" t="e">
        <f>BK9/BJ9</f>
        <v>#DIV/0!</v>
      </c>
      <c r="BL10" s="83" t="e">
        <f>BL9/$F$372</f>
        <v>#DIV/0!</v>
      </c>
      <c r="BM10" s="83" t="e">
        <f>BM9/BL9</f>
        <v>#DIV/0!</v>
      </c>
      <c r="BN10" s="83" t="e">
        <f>BN9/$F$372</f>
        <v>#DIV/0!</v>
      </c>
      <c r="BO10" s="83" t="e">
        <f>BO9/BN9</f>
        <v>#DIV/0!</v>
      </c>
      <c r="BP10" s="83" t="e">
        <f>BP9/$F$372</f>
        <v>#DIV/0!</v>
      </c>
      <c r="BQ10" s="83" t="e">
        <f>BQ9/BP9</f>
        <v>#DIV/0!</v>
      </c>
      <c r="BR10" s="205"/>
      <c r="BS10" s="205"/>
      <c r="BT10" s="205"/>
      <c r="BU10" s="205"/>
      <c r="BV10" s="205"/>
      <c r="BW10" s="205"/>
      <c r="BX10" s="205"/>
      <c r="BY10" s="207"/>
      <c r="BZ10" s="207"/>
      <c r="CA10" s="207"/>
      <c r="CB10" s="207"/>
      <c r="CC10" s="207"/>
      <c r="CD10" s="207"/>
      <c r="CE10" s="207"/>
      <c r="CF10" s="64"/>
      <c r="CH10" s="64"/>
    </row>
    <row r="11" spans="1:91" ht="8.25">
      <c r="CF11" s="64"/>
      <c r="CH11" s="64"/>
    </row>
    <row r="12" spans="1:91" ht="8.25">
      <c r="CF12" s="64"/>
      <c r="CH12" s="64"/>
    </row>
    <row r="13" spans="1:91" ht="8.25">
      <c r="AV13" s="68"/>
      <c r="BH13" s="750" t="s">
        <v>124</v>
      </c>
      <c r="BI13" s="751"/>
      <c r="BJ13" s="752"/>
      <c r="BK13" s="223" t="s">
        <v>271</v>
      </c>
      <c r="BL13" s="80"/>
      <c r="BM13" s="87"/>
      <c r="BN13" s="80" t="s">
        <v>126</v>
      </c>
      <c r="BO13" s="80"/>
      <c r="BP13" s="80"/>
      <c r="BQ13" s="80" t="s">
        <v>127</v>
      </c>
      <c r="BR13" s="80" t="s">
        <v>249</v>
      </c>
      <c r="BS13" s="80"/>
      <c r="CF13" s="64"/>
      <c r="CH13" s="64"/>
    </row>
    <row r="14" spans="1:91" ht="8.25">
      <c r="AV14" s="68"/>
      <c r="BH14" s="77" t="s">
        <v>8</v>
      </c>
      <c r="BI14" s="174">
        <f>CF9</f>
        <v>0</v>
      </c>
      <c r="BJ14" s="173">
        <f>BI14/$BI$22</f>
        <v>0</v>
      </c>
      <c r="BK14" s="224">
        <f>CF9</f>
        <v>0</v>
      </c>
      <c r="BL14" s="80"/>
      <c r="BM14" s="87"/>
      <c r="BN14" s="78" t="s">
        <v>114</v>
      </c>
      <c r="BO14" s="115">
        <f>BH9</f>
        <v>0</v>
      </c>
      <c r="BP14" s="115" t="e">
        <f>BO14/#REF!</f>
        <v>#REF!</v>
      </c>
      <c r="BQ14" s="84" t="e">
        <f>BI10</f>
        <v>#DIV/0!</v>
      </c>
      <c r="BR14" s="116" t="e">
        <f>BO14/#REF!</f>
        <v>#REF!</v>
      </c>
      <c r="BS14" s="81"/>
      <c r="CF14" s="64"/>
      <c r="CH14" s="64"/>
    </row>
    <row r="15" spans="1:91" ht="8.25">
      <c r="BH15" s="77" t="s">
        <v>272</v>
      </c>
      <c r="BI15" s="174">
        <f>CG9</f>
        <v>0</v>
      </c>
      <c r="BJ15" s="173">
        <f t="shared" ref="BJ15:BJ21" si="30">BI15/$BI$22</f>
        <v>0</v>
      </c>
      <c r="BK15" s="224">
        <v>0</v>
      </c>
      <c r="BL15" s="80"/>
      <c r="BM15" s="87"/>
      <c r="BN15" s="78"/>
      <c r="BO15" s="115"/>
      <c r="BP15" s="115"/>
      <c r="BQ15" s="84"/>
      <c r="BR15" s="116"/>
      <c r="BS15" s="81"/>
      <c r="CF15" s="64"/>
      <c r="CH15" s="64"/>
    </row>
    <row r="16" spans="1:91" ht="8.25">
      <c r="BH16" s="77" t="s">
        <v>116</v>
      </c>
      <c r="BI16" s="174">
        <f>CH9</f>
        <v>0</v>
      </c>
      <c r="BJ16" s="173">
        <f t="shared" si="30"/>
        <v>0</v>
      </c>
      <c r="BK16" s="224">
        <f>CH9</f>
        <v>0</v>
      </c>
      <c r="BL16" s="80"/>
      <c r="BM16" s="87"/>
      <c r="BN16" s="85" t="s">
        <v>38</v>
      </c>
      <c r="BO16" s="115">
        <f>BJ9</f>
        <v>0</v>
      </c>
      <c r="BP16" s="115" t="e">
        <f>BO16/#REF!</f>
        <v>#REF!</v>
      </c>
      <c r="BQ16" s="84" t="e">
        <f>BK10</f>
        <v>#DIV/0!</v>
      </c>
      <c r="BR16" s="116" t="e">
        <f>BO16/#REF!</f>
        <v>#REF!</v>
      </c>
      <c r="BS16" s="81"/>
      <c r="CF16" s="64"/>
      <c r="CH16" s="64"/>
    </row>
    <row r="17" spans="4:86" ht="8.25">
      <c r="Q17" s="225"/>
      <c r="BH17" s="77" t="s">
        <v>79</v>
      </c>
      <c r="BI17" s="174">
        <f>CI9</f>
        <v>0</v>
      </c>
      <c r="BJ17" s="173">
        <f t="shared" si="30"/>
        <v>0</v>
      </c>
      <c r="BK17" s="224" t="e">
        <f t="shared" ref="BK17:BK21" si="31">BJ17*$BK$22</f>
        <v>#REF!</v>
      </c>
      <c r="BL17" s="80"/>
      <c r="BM17" s="87"/>
      <c r="BN17" s="85" t="s">
        <v>40</v>
      </c>
      <c r="BO17" s="115">
        <f>BL9</f>
        <v>0</v>
      </c>
      <c r="BP17" s="115" t="e">
        <f>BO17/#REF!</f>
        <v>#REF!</v>
      </c>
      <c r="BQ17" s="84" t="e">
        <f>BM10</f>
        <v>#DIV/0!</v>
      </c>
      <c r="BR17" s="116" t="e">
        <f>BO17/#REF!</f>
        <v>#REF!</v>
      </c>
      <c r="BS17" s="81"/>
      <c r="CF17" s="64"/>
      <c r="CH17" s="64"/>
    </row>
    <row r="18" spans="4:86" ht="8.25">
      <c r="BH18" s="77" t="s">
        <v>27</v>
      </c>
      <c r="BI18" s="79">
        <v>0</v>
      </c>
      <c r="BJ18" s="173">
        <f t="shared" si="30"/>
        <v>0</v>
      </c>
      <c r="BK18" s="224" t="e">
        <f t="shared" si="31"/>
        <v>#REF!</v>
      </c>
      <c r="BL18" s="80"/>
      <c r="BM18" s="87"/>
      <c r="BN18" s="85" t="s">
        <v>42</v>
      </c>
      <c r="BO18" s="115">
        <f>BN9</f>
        <v>0</v>
      </c>
      <c r="BP18" s="115" t="e">
        <f>BO18/#REF!</f>
        <v>#REF!</v>
      </c>
      <c r="BQ18" s="84" t="e">
        <f>BO10</f>
        <v>#DIV/0!</v>
      </c>
      <c r="BR18" s="116" t="e">
        <f>BO18/#REF!</f>
        <v>#REF!</v>
      </c>
      <c r="BS18" s="81"/>
      <c r="CF18" s="64"/>
      <c r="CH18" s="64"/>
    </row>
    <row r="19" spans="4:86" ht="8.25">
      <c r="BH19" s="77" t="s">
        <v>117</v>
      </c>
      <c r="BI19" s="79">
        <v>0</v>
      </c>
      <c r="BJ19" s="173">
        <f t="shared" si="30"/>
        <v>0</v>
      </c>
      <c r="BK19" s="224" t="e">
        <f t="shared" si="31"/>
        <v>#REF!</v>
      </c>
      <c r="BL19" s="80"/>
      <c r="BM19" s="87"/>
      <c r="BN19" s="85" t="s">
        <v>44</v>
      </c>
      <c r="BO19" s="115">
        <f>BP9</f>
        <v>0</v>
      </c>
      <c r="BP19" s="115" t="e">
        <f>BO19/#REF!</f>
        <v>#REF!</v>
      </c>
      <c r="BQ19" s="84" t="e">
        <f>BQ10</f>
        <v>#DIV/0!</v>
      </c>
      <c r="BR19" s="116" t="e">
        <f>BO19/#REF!</f>
        <v>#REF!</v>
      </c>
      <c r="BS19" s="81"/>
      <c r="CF19" s="64"/>
      <c r="CH19" s="64"/>
    </row>
    <row r="20" spans="4:86" ht="8.25">
      <c r="BH20" s="77" t="s">
        <v>29</v>
      </c>
      <c r="BI20" s="174">
        <f>AO9*3.6</f>
        <v>0</v>
      </c>
      <c r="BJ20" s="173">
        <f t="shared" si="30"/>
        <v>0</v>
      </c>
      <c r="BK20" s="224" t="e">
        <f t="shared" si="31"/>
        <v>#REF!</v>
      </c>
      <c r="BL20" s="80"/>
      <c r="BM20" s="87"/>
      <c r="BN20" s="75"/>
      <c r="BO20" s="117">
        <f>SUM(BO14:BO19)</f>
        <v>0</v>
      </c>
      <c r="BP20" s="80"/>
      <c r="BQ20" s="80"/>
      <c r="BR20" s="81"/>
      <c r="BS20" s="81"/>
      <c r="CF20" s="64"/>
      <c r="CH20" s="64"/>
    </row>
    <row r="21" spans="4:86" ht="8.25">
      <c r="BH21" s="77" t="s">
        <v>273</v>
      </c>
      <c r="BI21" s="79">
        <f>5*520/1000*3.6*2</f>
        <v>18.720000000000002</v>
      </c>
      <c r="BJ21" s="173">
        <f t="shared" si="30"/>
        <v>1</v>
      </c>
      <c r="BK21" s="224" t="e">
        <f t="shared" si="31"/>
        <v>#REF!</v>
      </c>
      <c r="BL21" s="80"/>
      <c r="BM21" s="87"/>
      <c r="BN21" s="80"/>
      <c r="BO21" s="80"/>
      <c r="BP21" s="86">
        <f>1-BO20</f>
        <v>1</v>
      </c>
      <c r="BQ21" s="80"/>
      <c r="BR21" s="81"/>
      <c r="BS21" s="81"/>
      <c r="CF21" s="64"/>
      <c r="CH21" s="64"/>
    </row>
    <row r="22" spans="4:86" ht="8.25">
      <c r="BH22" s="79" t="s">
        <v>119</v>
      </c>
      <c r="BI22" s="174">
        <f>SUM(BI14:BI21)</f>
        <v>18.720000000000002</v>
      </c>
      <c r="BJ22" s="173">
        <f>SUM(BJ14:BJ21)</f>
        <v>1</v>
      </c>
      <c r="BK22" s="226" t="e">
        <f>U9</f>
        <v>#REF!</v>
      </c>
      <c r="BL22" s="80"/>
      <c r="BM22" s="87"/>
      <c r="BN22" s="75"/>
      <c r="BO22" s="80"/>
      <c r="BP22" s="80"/>
      <c r="BQ22" s="80"/>
      <c r="BR22" s="81"/>
      <c r="BS22" s="81"/>
      <c r="CF22" s="64"/>
      <c r="CH22" s="64"/>
    </row>
    <row r="23" spans="4:86" ht="8.25">
      <c r="CF23" s="64"/>
      <c r="CH23" s="64"/>
    </row>
    <row r="24" spans="4:86" ht="8.25">
      <c r="CF24" s="64"/>
      <c r="CH24" s="64"/>
    </row>
    <row r="25" spans="4:86" ht="8.25">
      <c r="CF25" s="64"/>
      <c r="CH25" s="64"/>
    </row>
    <row r="26" spans="4:86" ht="8.25">
      <c r="CF26" s="64"/>
      <c r="CH26" s="64"/>
    </row>
    <row r="27" spans="4:86" ht="8.25">
      <c r="CF27" s="64"/>
      <c r="CH27" s="64"/>
    </row>
    <row r="28" spans="4:86" ht="8.25">
      <c r="CF28" s="64"/>
      <c r="CH28" s="64"/>
    </row>
    <row r="29" spans="4:86" ht="8.25">
      <c r="CF29" s="64"/>
      <c r="CH29" s="64"/>
    </row>
    <row r="30" spans="4:86" ht="8.25">
      <c r="CF30" s="64"/>
      <c r="CH30" s="64"/>
    </row>
    <row r="31" spans="4:86" ht="8.25">
      <c r="CF31" s="64"/>
      <c r="CH31" s="64"/>
    </row>
    <row r="32" spans="4:86" ht="8.25">
      <c r="D32" s="65" t="s">
        <v>276</v>
      </c>
      <c r="CF32" s="64"/>
      <c r="CH32" s="64"/>
    </row>
    <row r="33" spans="11:86" ht="8.25">
      <c r="CF33" s="64"/>
      <c r="CH33" s="64"/>
    </row>
    <row r="34" spans="11:86" ht="8.25">
      <c r="CF34" s="64"/>
      <c r="CH34" s="64"/>
    </row>
    <row r="35" spans="11:86" ht="8.25">
      <c r="CF35" s="64"/>
      <c r="CH35" s="64"/>
    </row>
    <row r="36" spans="11:86" ht="8.25">
      <c r="CF36" s="64"/>
      <c r="CH36" s="64"/>
    </row>
    <row r="37" spans="11:86" ht="8.25">
      <c r="CF37" s="64"/>
      <c r="CH37" s="64"/>
    </row>
    <row r="38" spans="11:86" ht="8.25">
      <c r="CF38" s="64"/>
      <c r="CH38" s="64"/>
    </row>
    <row r="39" spans="11:86">
      <c r="K39" s="23" t="s">
        <v>175</v>
      </c>
      <c r="CF39" s="64"/>
      <c r="CH39" s="64"/>
    </row>
    <row r="40" spans="11:86" ht="8.25">
      <c r="CF40" s="64"/>
      <c r="CH40" s="64"/>
    </row>
    <row r="41" spans="11:86" ht="8.25">
      <c r="CF41" s="64"/>
      <c r="CH41" s="64"/>
    </row>
    <row r="42" spans="11:86" ht="8.25">
      <c r="CF42" s="64"/>
      <c r="CH42" s="64"/>
    </row>
    <row r="43" spans="11:86" ht="8.25">
      <c r="CF43" s="64"/>
      <c r="CH43" s="64"/>
    </row>
    <row r="44" spans="11:86" ht="8.25">
      <c r="CF44" s="64"/>
      <c r="CH44" s="64"/>
    </row>
    <row r="45" spans="11:86" ht="8.25">
      <c r="CF45" s="64"/>
      <c r="CH45" s="64"/>
    </row>
    <row r="46" spans="11:86" ht="8.25">
      <c r="CF46" s="64"/>
      <c r="CH46" s="64"/>
    </row>
    <row r="47" spans="11:86" ht="8.25">
      <c r="CF47" s="64"/>
      <c r="CH47" s="64"/>
    </row>
    <row r="48" spans="11:86" ht="8.25">
      <c r="CF48" s="64"/>
      <c r="CH48" s="64"/>
    </row>
    <row r="49" spans="84:86" ht="8.25">
      <c r="CF49" s="64"/>
      <c r="CH49" s="64"/>
    </row>
    <row r="50" spans="84:86" ht="8.25">
      <c r="CF50" s="64"/>
      <c r="CH50" s="64"/>
    </row>
    <row r="51" spans="84:86" ht="8.25">
      <c r="CF51" s="64"/>
      <c r="CH51" s="64"/>
    </row>
    <row r="52" spans="84:86" ht="8.25">
      <c r="CF52" s="64"/>
      <c r="CH52" s="64"/>
    </row>
    <row r="53" spans="84:86" ht="8.25">
      <c r="CF53" s="64"/>
      <c r="CH53" s="64"/>
    </row>
    <row r="54" spans="84:86" ht="8.25">
      <c r="CF54" s="64"/>
      <c r="CH54" s="64"/>
    </row>
    <row r="55" spans="84:86" ht="8.25">
      <c r="CF55" s="64"/>
      <c r="CH55" s="64"/>
    </row>
    <row r="56" spans="84:86" ht="8.25">
      <c r="CF56" s="64"/>
      <c r="CH56" s="64"/>
    </row>
    <row r="57" spans="84:86" ht="8.25">
      <c r="CF57" s="64"/>
      <c r="CH57" s="64"/>
    </row>
    <row r="58" spans="84:86" ht="8.25">
      <c r="CF58" s="64"/>
      <c r="CH58" s="64"/>
    </row>
    <row r="59" spans="84:86" ht="8.25">
      <c r="CF59" s="64"/>
      <c r="CH59" s="64"/>
    </row>
    <row r="60" spans="84:86" ht="8.25">
      <c r="CF60" s="64"/>
      <c r="CH60" s="64"/>
    </row>
    <row r="61" spans="84:86" ht="8.25">
      <c r="CF61" s="64"/>
      <c r="CH61" s="64"/>
    </row>
    <row r="62" spans="84:86" ht="8.25">
      <c r="CF62" s="64"/>
      <c r="CH62" s="64"/>
    </row>
    <row r="63" spans="84:86" ht="8.25">
      <c r="CF63" s="64"/>
      <c r="CH63" s="64"/>
    </row>
    <row r="64" spans="84:86" ht="8.25">
      <c r="CF64" s="64"/>
      <c r="CH64" s="64"/>
    </row>
    <row r="65" spans="84:86" ht="8.25">
      <c r="CF65" s="64"/>
      <c r="CH65" s="64"/>
    </row>
    <row r="66" spans="84:86" ht="8.25">
      <c r="CF66" s="64"/>
      <c r="CH66" s="64"/>
    </row>
    <row r="67" spans="84:86" ht="8.25">
      <c r="CF67" s="64"/>
      <c r="CH67" s="64"/>
    </row>
    <row r="68" spans="84:86" ht="8.25">
      <c r="CF68" s="64"/>
      <c r="CH68" s="64"/>
    </row>
    <row r="69" spans="84:86" ht="8.25">
      <c r="CF69" s="64"/>
      <c r="CH69" s="64"/>
    </row>
    <row r="70" spans="84:86" ht="8.25">
      <c r="CF70" s="64"/>
      <c r="CH70" s="64"/>
    </row>
    <row r="71" spans="84:86" ht="8.25">
      <c r="CF71" s="64"/>
      <c r="CH71" s="64"/>
    </row>
    <row r="72" spans="84:86" ht="8.25">
      <c r="CF72" s="64"/>
      <c r="CH72" s="64"/>
    </row>
    <row r="73" spans="84:86" ht="8.25">
      <c r="CF73" s="64"/>
      <c r="CH73" s="64"/>
    </row>
    <row r="74" spans="84:86" ht="8.25">
      <c r="CF74" s="64"/>
      <c r="CH74" s="64"/>
    </row>
    <row r="75" spans="84:86" ht="8.25">
      <c r="CF75" s="64"/>
      <c r="CH75" s="64"/>
    </row>
    <row r="76" spans="84:86" ht="8.25">
      <c r="CF76" s="64"/>
      <c r="CH76" s="64"/>
    </row>
    <row r="77" spans="84:86" ht="8.25">
      <c r="CF77" s="64"/>
      <c r="CH77" s="64"/>
    </row>
    <row r="78" spans="84:86" ht="8.25">
      <c r="CF78" s="64"/>
      <c r="CH78" s="64"/>
    </row>
    <row r="79" spans="84:86" ht="8.25">
      <c r="CF79" s="64"/>
      <c r="CH79" s="64"/>
    </row>
    <row r="80" spans="84:86" ht="8.25">
      <c r="CF80" s="64"/>
      <c r="CH80" s="64"/>
    </row>
    <row r="81" spans="84:86" ht="8.25">
      <c r="CF81" s="64"/>
      <c r="CH81" s="64"/>
    </row>
    <row r="82" spans="84:86" ht="8.25">
      <c r="CF82" s="64"/>
      <c r="CH82" s="64"/>
    </row>
    <row r="83" spans="84:86" ht="8.25">
      <c r="CF83" s="64"/>
      <c r="CH83" s="64"/>
    </row>
    <row r="84" spans="84:86" ht="8.25">
      <c r="CF84" s="64"/>
      <c r="CH84" s="64"/>
    </row>
    <row r="85" spans="84:86" ht="8.25">
      <c r="CF85" s="64"/>
      <c r="CH85" s="64"/>
    </row>
    <row r="86" spans="84:86" ht="8.25">
      <c r="CF86" s="64"/>
      <c r="CH86" s="64"/>
    </row>
    <row r="87" spans="84:86" ht="8.25">
      <c r="CF87" s="64"/>
      <c r="CH87" s="64"/>
    </row>
    <row r="88" spans="84:86" ht="8.25">
      <c r="CF88" s="64"/>
      <c r="CH88" s="64"/>
    </row>
    <row r="89" spans="84:86" ht="8.25">
      <c r="CF89" s="64"/>
      <c r="CH89" s="64"/>
    </row>
    <row r="90" spans="84:86" ht="8.25">
      <c r="CF90" s="64"/>
      <c r="CH90" s="64"/>
    </row>
    <row r="91" spans="84:86" ht="8.25">
      <c r="CF91" s="64"/>
      <c r="CH91" s="64"/>
    </row>
    <row r="92" spans="84:86" ht="8.25">
      <c r="CF92" s="64"/>
      <c r="CH92" s="64"/>
    </row>
    <row r="93" spans="84:86" ht="8.25">
      <c r="CF93" s="64"/>
      <c r="CH93" s="64"/>
    </row>
    <row r="94" spans="84:86" ht="8.25">
      <c r="CF94" s="64"/>
      <c r="CH94" s="64"/>
    </row>
    <row r="95" spans="84:86" ht="8.25">
      <c r="CF95" s="64"/>
      <c r="CH95" s="64"/>
    </row>
    <row r="96" spans="84:86" ht="8.25">
      <c r="CF96" s="64"/>
      <c r="CH96" s="64"/>
    </row>
    <row r="97" spans="84:86" ht="8.25">
      <c r="CF97" s="64"/>
      <c r="CH97" s="64"/>
    </row>
    <row r="98" spans="84:86" ht="8.25">
      <c r="CF98" s="64"/>
      <c r="CH98" s="64"/>
    </row>
    <row r="99" spans="84:86" ht="8.25">
      <c r="CF99" s="64"/>
      <c r="CH99" s="64"/>
    </row>
    <row r="100" spans="84:86" ht="8.25">
      <c r="CF100" s="64"/>
      <c r="CH100" s="64"/>
    </row>
    <row r="101" spans="84:86" ht="8.25">
      <c r="CF101" s="64"/>
      <c r="CH101" s="64"/>
    </row>
    <row r="102" spans="84:86" ht="8.25">
      <c r="CF102" s="64"/>
      <c r="CH102" s="64"/>
    </row>
    <row r="103" spans="84:86" ht="8.25">
      <c r="CF103" s="64"/>
      <c r="CH103" s="64"/>
    </row>
    <row r="104" spans="84:86" ht="8.25">
      <c r="CF104" s="64"/>
      <c r="CH104" s="64"/>
    </row>
    <row r="105" spans="84:86" ht="8.25">
      <c r="CF105" s="64"/>
      <c r="CH105" s="64"/>
    </row>
    <row r="106" spans="84:86" ht="8.25">
      <c r="CF106" s="64"/>
      <c r="CH106" s="64"/>
    </row>
    <row r="107" spans="84:86" ht="8.25">
      <c r="CF107" s="64"/>
      <c r="CH107" s="64"/>
    </row>
    <row r="108" spans="84:86" ht="8.25">
      <c r="CF108" s="64"/>
      <c r="CH108" s="64"/>
    </row>
    <row r="109" spans="84:86" ht="8.25">
      <c r="CF109" s="64"/>
      <c r="CH109" s="64"/>
    </row>
    <row r="110" spans="84:86" ht="8.25">
      <c r="CF110" s="64"/>
      <c r="CH110" s="64"/>
    </row>
    <row r="111" spans="84:86" ht="8.25">
      <c r="CF111" s="64"/>
      <c r="CH111" s="64"/>
    </row>
    <row r="112" spans="84:86" ht="8.25">
      <c r="CF112" s="64"/>
      <c r="CH112" s="64"/>
    </row>
    <row r="113" spans="84:86" ht="8.25">
      <c r="CF113" s="64"/>
      <c r="CH113" s="64"/>
    </row>
    <row r="114" spans="84:86" ht="8.25">
      <c r="CF114" s="64"/>
      <c r="CH114" s="64"/>
    </row>
    <row r="115" spans="84:86" ht="8.25">
      <c r="CF115" s="64"/>
      <c r="CH115" s="64"/>
    </row>
    <row r="116" spans="84:86" ht="8.25">
      <c r="CF116" s="64"/>
      <c r="CH116" s="64"/>
    </row>
    <row r="117" spans="84:86" ht="8.25">
      <c r="CF117" s="64"/>
      <c r="CH117" s="64"/>
    </row>
    <row r="118" spans="84:86" ht="8.25">
      <c r="CF118" s="64"/>
      <c r="CH118" s="64"/>
    </row>
    <row r="119" spans="84:86" ht="8.25">
      <c r="CF119" s="64"/>
      <c r="CH119" s="64"/>
    </row>
    <row r="120" spans="84:86" ht="8.25">
      <c r="CF120" s="64"/>
      <c r="CH120" s="64"/>
    </row>
    <row r="121" spans="84:86" ht="8.25">
      <c r="CF121" s="64"/>
      <c r="CH121" s="64"/>
    </row>
    <row r="122" spans="84:86" ht="8.25">
      <c r="CF122" s="64"/>
      <c r="CH122" s="64"/>
    </row>
    <row r="123" spans="84:86" ht="8.25">
      <c r="CF123" s="64"/>
      <c r="CH123" s="64"/>
    </row>
    <row r="124" spans="84:86" ht="8.25">
      <c r="CF124" s="64"/>
      <c r="CH124" s="64"/>
    </row>
    <row r="125" spans="84:86" ht="8.25">
      <c r="CF125" s="64"/>
      <c r="CH125" s="64"/>
    </row>
    <row r="126" spans="84:86" ht="8.25">
      <c r="CF126" s="64"/>
      <c r="CH126" s="64"/>
    </row>
    <row r="127" spans="84:86" ht="8.25">
      <c r="CF127" s="64"/>
      <c r="CH127" s="64"/>
    </row>
    <row r="128" spans="84:86" ht="8.25">
      <c r="CF128" s="64"/>
      <c r="CH128" s="64"/>
    </row>
    <row r="129" spans="84:86" ht="8.25">
      <c r="CF129" s="64"/>
      <c r="CH129" s="64"/>
    </row>
    <row r="130" spans="84:86" ht="8.25">
      <c r="CF130" s="64"/>
      <c r="CH130" s="64"/>
    </row>
    <row r="131" spans="84:86" ht="8.25">
      <c r="CF131" s="64"/>
      <c r="CH131" s="64"/>
    </row>
    <row r="132" spans="84:86" ht="8.25">
      <c r="CF132" s="64"/>
      <c r="CH132" s="64"/>
    </row>
    <row r="133" spans="84:86" ht="8.25">
      <c r="CF133" s="64"/>
      <c r="CH133" s="64"/>
    </row>
    <row r="134" spans="84:86" ht="8.25">
      <c r="CF134" s="64"/>
      <c r="CH134" s="64"/>
    </row>
    <row r="135" spans="84:86" ht="8.25">
      <c r="CF135" s="64"/>
      <c r="CH135" s="64"/>
    </row>
    <row r="136" spans="84:86" ht="8.25">
      <c r="CF136" s="64"/>
      <c r="CH136" s="64"/>
    </row>
    <row r="137" spans="84:86" ht="8.25">
      <c r="CF137" s="64"/>
      <c r="CH137" s="64"/>
    </row>
    <row r="138" spans="84:86" ht="8.25">
      <c r="CF138" s="64"/>
      <c r="CH138" s="64"/>
    </row>
    <row r="139" spans="84:86" ht="8.25">
      <c r="CF139" s="64"/>
      <c r="CH139" s="64"/>
    </row>
    <row r="140" spans="84:86" ht="8.25">
      <c r="CF140" s="64"/>
      <c r="CH140" s="64"/>
    </row>
    <row r="141" spans="84:86" ht="8.25">
      <c r="CF141" s="64"/>
      <c r="CH141" s="64"/>
    </row>
    <row r="142" spans="84:86" ht="8.25">
      <c r="CF142" s="64"/>
      <c r="CH142" s="64"/>
    </row>
    <row r="143" spans="84:86" ht="8.25">
      <c r="CF143" s="64"/>
      <c r="CH143" s="64"/>
    </row>
    <row r="144" spans="84:86" ht="8.25">
      <c r="CF144" s="64"/>
      <c r="CH144" s="64"/>
    </row>
    <row r="145" spans="84:86" ht="8.25">
      <c r="CF145" s="64"/>
      <c r="CH145" s="64"/>
    </row>
    <row r="146" spans="84:86" ht="8.25">
      <c r="CF146" s="64"/>
      <c r="CH146" s="64"/>
    </row>
    <row r="147" spans="84:86" ht="8.25">
      <c r="CF147" s="64"/>
      <c r="CH147" s="64"/>
    </row>
    <row r="148" spans="84:86" ht="8.25">
      <c r="CF148" s="64"/>
      <c r="CH148" s="64"/>
    </row>
    <row r="149" spans="84:86" ht="8.25">
      <c r="CF149" s="64"/>
      <c r="CH149" s="64"/>
    </row>
    <row r="150" spans="84:86" ht="8.25">
      <c r="CF150" s="64"/>
      <c r="CH150" s="64"/>
    </row>
    <row r="151" spans="84:86" ht="8.25">
      <c r="CF151" s="64"/>
      <c r="CH151" s="64"/>
    </row>
    <row r="152" spans="84:86" ht="8.25">
      <c r="CF152" s="64"/>
      <c r="CH152" s="64"/>
    </row>
    <row r="153" spans="84:86" ht="8.25">
      <c r="CF153" s="64"/>
      <c r="CH153" s="64"/>
    </row>
    <row r="154" spans="84:86" ht="8.25">
      <c r="CF154" s="64"/>
      <c r="CH154" s="64"/>
    </row>
    <row r="155" spans="84:86" ht="8.25">
      <c r="CF155" s="64"/>
      <c r="CH155" s="64"/>
    </row>
    <row r="156" spans="84:86" ht="8.25">
      <c r="CF156" s="64"/>
      <c r="CH156" s="64"/>
    </row>
    <row r="157" spans="84:86" ht="8.25">
      <c r="CF157" s="64"/>
      <c r="CH157" s="64"/>
    </row>
    <row r="158" spans="84:86" ht="8.25">
      <c r="CF158" s="64"/>
      <c r="CH158" s="64"/>
    </row>
    <row r="159" spans="84:86" ht="8.25">
      <c r="CF159" s="64"/>
      <c r="CH159" s="64"/>
    </row>
    <row r="160" spans="84:86" ht="8.25">
      <c r="CF160" s="64"/>
      <c r="CH160" s="64"/>
    </row>
    <row r="161" spans="84:86" ht="8.25">
      <c r="CF161" s="64"/>
      <c r="CH161" s="64"/>
    </row>
    <row r="162" spans="84:86" ht="8.25">
      <c r="CF162" s="64"/>
      <c r="CH162" s="64"/>
    </row>
    <row r="163" spans="84:86" ht="8.25">
      <c r="CF163" s="64"/>
      <c r="CH163" s="64"/>
    </row>
    <row r="164" spans="84:86" ht="8.25">
      <c r="CF164" s="64"/>
      <c r="CH164" s="64"/>
    </row>
    <row r="165" spans="84:86" ht="8.25">
      <c r="CF165" s="64"/>
      <c r="CH165" s="64"/>
    </row>
    <row r="166" spans="84:86" ht="8.25">
      <c r="CF166" s="64"/>
      <c r="CH166" s="64"/>
    </row>
    <row r="167" spans="84:86" ht="8.25">
      <c r="CF167" s="64"/>
      <c r="CH167" s="64"/>
    </row>
    <row r="168" spans="84:86" ht="8.25">
      <c r="CF168" s="64"/>
      <c r="CH168" s="64"/>
    </row>
    <row r="169" spans="84:86" ht="8.25">
      <c r="CF169" s="64"/>
      <c r="CH169" s="64"/>
    </row>
    <row r="170" spans="84:86" ht="8.25">
      <c r="CF170" s="64"/>
      <c r="CH170" s="64"/>
    </row>
    <row r="171" spans="84:86" ht="8.25">
      <c r="CF171" s="64"/>
      <c r="CH171" s="64"/>
    </row>
    <row r="172" spans="84:86" ht="8.25">
      <c r="CF172" s="64"/>
      <c r="CH172" s="64"/>
    </row>
    <row r="173" spans="84:86" ht="8.25">
      <c r="CF173" s="64"/>
      <c r="CH173" s="64"/>
    </row>
    <row r="174" spans="84:86" ht="8.25">
      <c r="CF174" s="64"/>
      <c r="CH174" s="64"/>
    </row>
    <row r="175" spans="84:86" ht="8.25">
      <c r="CF175" s="64"/>
      <c r="CH175" s="64"/>
    </row>
    <row r="176" spans="84:86" ht="8.25">
      <c r="CF176" s="64"/>
      <c r="CH176" s="64"/>
    </row>
    <row r="177" spans="84:86" ht="8.25">
      <c r="CF177" s="64"/>
      <c r="CH177" s="64"/>
    </row>
    <row r="178" spans="84:86" ht="8.25">
      <c r="CF178" s="64"/>
      <c r="CH178" s="64"/>
    </row>
  </sheetData>
  <mergeCells count="43">
    <mergeCell ref="A1:BF1"/>
    <mergeCell ref="BH1:BP1"/>
    <mergeCell ref="A2:A3"/>
    <mergeCell ref="B2:C3"/>
    <mergeCell ref="D2:D3"/>
    <mergeCell ref="E2:E3"/>
    <mergeCell ref="F2:F3"/>
    <mergeCell ref="G2:G3"/>
    <mergeCell ref="H2:H3"/>
    <mergeCell ref="I2:I3"/>
    <mergeCell ref="V2:V3"/>
    <mergeCell ref="J2:J3"/>
    <mergeCell ref="K2:K3"/>
    <mergeCell ref="L2:M3"/>
    <mergeCell ref="N2:N3"/>
    <mergeCell ref="O2:O3"/>
    <mergeCell ref="P2:P3"/>
    <mergeCell ref="Q2:Q3"/>
    <mergeCell ref="R2:R3"/>
    <mergeCell ref="S2:S3"/>
    <mergeCell ref="T2:T3"/>
    <mergeCell ref="U2:U3"/>
    <mergeCell ref="X2:X3"/>
    <mergeCell ref="Y2:AE2"/>
    <mergeCell ref="AF2:AL2"/>
    <mergeCell ref="AM2:AM3"/>
    <mergeCell ref="W2:W3"/>
    <mergeCell ref="AN2:AN3"/>
    <mergeCell ref="L4:M4"/>
    <mergeCell ref="A9:T9"/>
    <mergeCell ref="BH13:BJ13"/>
    <mergeCell ref="BA2:BA3"/>
    <mergeCell ref="BB2:BB3"/>
    <mergeCell ref="BC2:BC3"/>
    <mergeCell ref="BD2:BD3"/>
    <mergeCell ref="BE2:BE3"/>
    <mergeCell ref="BF2:BF3"/>
    <mergeCell ref="AO2:AO3"/>
    <mergeCell ref="AP2:AP3"/>
    <mergeCell ref="AQ2:AW2"/>
    <mergeCell ref="AX2:AX3"/>
    <mergeCell ref="AY2:AY3"/>
    <mergeCell ref="AZ2:AZ3"/>
  </mergeCells>
  <dataValidations count="1">
    <dataValidation type="list" allowBlank="1" showInputMessage="1" showErrorMessage="1" sqref="P5:P8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'[1]Założenia,wskaźniki, listy'!#REF!</xm:f>
          </x14:formula1>
          <xm:sqref>E5:E8 I5:K8 BC5:BC8 AX5:BA8 T5:T8 O5:O8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C000"/>
  </sheetPr>
  <dimension ref="A1:AN29"/>
  <sheetViews>
    <sheetView topLeftCell="K1" zoomScale="85" zoomScaleNormal="85" zoomScaleSheetLayoutView="85" workbookViewId="0">
      <selection activeCell="AI25" sqref="AI25"/>
    </sheetView>
  </sheetViews>
  <sheetFormatPr defaultColWidth="9" defaultRowHeight="14.25"/>
  <cols>
    <col min="1" max="1" width="5.375" style="36" hidden="1" customWidth="1"/>
    <col min="2" max="2" width="13.25" style="23" hidden="1" customWidth="1"/>
    <col min="3" max="3" width="19.875" style="23" hidden="1" customWidth="1"/>
    <col min="4" max="4" width="4.875" hidden="1" customWidth="1"/>
    <col min="5" max="5" width="8.375" style="23" hidden="1" customWidth="1"/>
    <col min="6" max="6" width="7.25" style="23" hidden="1" customWidth="1"/>
    <col min="7" max="8" width="9.25" style="23" hidden="1" customWidth="1"/>
    <col min="9" max="9" width="11.875" style="23" hidden="1" customWidth="1"/>
    <col min="10" max="10" width="10.125" style="23" hidden="1" customWidth="1"/>
    <col min="11" max="11" width="16.375" style="23" customWidth="1"/>
    <col min="12" max="13" width="9.125" style="23" hidden="1" customWidth="1"/>
    <col min="14" max="14" width="8.375" style="23" hidden="1" customWidth="1"/>
    <col min="15" max="15" width="10" style="23" hidden="1" customWidth="1"/>
    <col min="16" max="16" width="11.875" style="23" bestFit="1" customWidth="1"/>
    <col min="17" max="17" width="15.5" style="23" customWidth="1"/>
    <col min="18" max="18" width="6.875" style="27" hidden="1" customWidth="1"/>
    <col min="19" max="19" width="7.25" style="27" hidden="1" customWidth="1"/>
    <col min="20" max="20" width="9" style="27" hidden="1" customWidth="1"/>
    <col min="21" max="23" width="6" style="27" hidden="1" customWidth="1"/>
    <col min="24" max="24" width="6" style="23" hidden="1" customWidth="1"/>
    <col min="25" max="25" width="8" style="23" bestFit="1" customWidth="1"/>
    <col min="26" max="26" width="8.125" style="23" customWidth="1"/>
    <col min="27" max="27" width="11.125" style="23" customWidth="1"/>
    <col min="28" max="28" width="8" style="23" bestFit="1" customWidth="1"/>
    <col min="29" max="30" width="10.125" style="23" bestFit="1" customWidth="1"/>
    <col min="31" max="31" width="11.25" style="23" bestFit="1" customWidth="1"/>
    <col min="32" max="32" width="9" style="23"/>
    <col min="33" max="33" width="15.75" style="23" customWidth="1"/>
    <col min="34" max="34" width="14.5" style="23" customWidth="1"/>
    <col min="35" max="16384" width="9" style="23"/>
  </cols>
  <sheetData>
    <row r="1" spans="1:40" ht="15">
      <c r="K1" s="764" t="s">
        <v>182</v>
      </c>
      <c r="L1" s="764"/>
      <c r="M1" s="764"/>
      <c r="N1" s="764"/>
      <c r="O1" s="764"/>
      <c r="P1" s="764"/>
      <c r="Q1" s="764"/>
      <c r="R1" s="764"/>
      <c r="S1" s="764"/>
      <c r="T1" s="764"/>
      <c r="U1" s="764"/>
      <c r="V1" s="764"/>
      <c r="W1" s="764"/>
      <c r="X1" s="764"/>
      <c r="Y1" s="764"/>
      <c r="Z1" s="764"/>
      <c r="AA1" s="764"/>
      <c r="AB1" s="764"/>
      <c r="AC1" s="764"/>
      <c r="AD1" s="764"/>
      <c r="AE1" s="764"/>
    </row>
    <row r="2" spans="1:40" ht="15.75" thickBot="1">
      <c r="K2" s="765" t="s">
        <v>173</v>
      </c>
      <c r="L2" s="765"/>
      <c r="M2" s="765"/>
      <c r="N2" s="765"/>
      <c r="O2" s="765"/>
      <c r="P2" s="765"/>
      <c r="Q2" s="765"/>
      <c r="R2" s="88"/>
      <c r="S2" s="88"/>
      <c r="T2" s="88"/>
      <c r="U2" s="88"/>
      <c r="V2" s="88"/>
      <c r="W2" s="88"/>
      <c r="X2" s="88"/>
      <c r="Y2" s="766" t="s">
        <v>172</v>
      </c>
      <c r="Z2" s="766"/>
      <c r="AA2" s="766"/>
      <c r="AB2" s="766"/>
      <c r="AC2" s="766"/>
      <c r="AD2" s="766"/>
      <c r="AE2" s="766"/>
    </row>
    <row r="3" spans="1:40" s="30" customFormat="1" ht="46.5" customHeight="1" thickTop="1">
      <c r="A3" s="767" t="s">
        <v>4</v>
      </c>
      <c r="B3" s="769" t="s">
        <v>20</v>
      </c>
      <c r="C3" s="769" t="s">
        <v>101</v>
      </c>
      <c r="D3" s="771" t="s">
        <v>102</v>
      </c>
      <c r="E3" s="771" t="s">
        <v>24</v>
      </c>
      <c r="F3" s="771" t="s">
        <v>105</v>
      </c>
      <c r="G3" s="773" t="s">
        <v>5</v>
      </c>
      <c r="H3" s="774"/>
      <c r="I3" s="771" t="s">
        <v>34</v>
      </c>
      <c r="J3" s="771" t="s">
        <v>77</v>
      </c>
      <c r="K3" s="778" t="s">
        <v>25</v>
      </c>
      <c r="L3" s="779" t="s">
        <v>78</v>
      </c>
      <c r="M3" s="780" t="s">
        <v>118</v>
      </c>
      <c r="N3" s="778" t="s">
        <v>47</v>
      </c>
      <c r="O3" s="778" t="s">
        <v>96</v>
      </c>
      <c r="P3" s="778" t="s">
        <v>170</v>
      </c>
      <c r="Q3" s="779" t="s">
        <v>111</v>
      </c>
      <c r="R3" s="766" t="s">
        <v>80</v>
      </c>
      <c r="S3" s="766"/>
      <c r="T3" s="766"/>
      <c r="U3" s="766"/>
      <c r="V3" s="766"/>
      <c r="W3" s="766"/>
      <c r="X3" s="766"/>
      <c r="Y3" s="766"/>
      <c r="Z3" s="766"/>
      <c r="AA3" s="766"/>
      <c r="AB3" s="766"/>
      <c r="AC3" s="766"/>
      <c r="AD3" s="766"/>
      <c r="AE3" s="766"/>
      <c r="AG3" s="775" t="s">
        <v>176</v>
      </c>
      <c r="AH3" s="776"/>
      <c r="AI3" s="777"/>
      <c r="AK3" s="23"/>
      <c r="AL3" s="23"/>
    </row>
    <row r="4" spans="1:40" s="30" customFormat="1">
      <c r="A4" s="768"/>
      <c r="B4" s="770"/>
      <c r="C4" s="770"/>
      <c r="D4" s="772"/>
      <c r="E4" s="772"/>
      <c r="F4" s="772"/>
      <c r="G4" s="44" t="s">
        <v>46</v>
      </c>
      <c r="H4" s="44"/>
      <c r="I4" s="772"/>
      <c r="J4" s="772"/>
      <c r="K4" s="778"/>
      <c r="L4" s="772"/>
      <c r="M4" s="781"/>
      <c r="N4" s="778"/>
      <c r="O4" s="778"/>
      <c r="P4" s="778"/>
      <c r="Q4" s="772"/>
      <c r="R4" s="31" t="s">
        <v>66</v>
      </c>
      <c r="S4" s="31" t="s">
        <v>67</v>
      </c>
      <c r="T4" s="31" t="s">
        <v>68</v>
      </c>
      <c r="U4" s="31" t="s">
        <v>69</v>
      </c>
      <c r="V4" s="31" t="s">
        <v>70</v>
      </c>
      <c r="W4" s="31" t="s">
        <v>71</v>
      </c>
      <c r="X4" s="32" t="s">
        <v>72</v>
      </c>
      <c r="Y4" s="34" t="s">
        <v>66</v>
      </c>
      <c r="Z4" s="34" t="s">
        <v>67</v>
      </c>
      <c r="AA4" s="34" t="s">
        <v>135</v>
      </c>
      <c r="AB4" s="34" t="s">
        <v>69</v>
      </c>
      <c r="AC4" s="34" t="s">
        <v>70</v>
      </c>
      <c r="AD4" s="89" t="s">
        <v>71</v>
      </c>
      <c r="AE4" s="34" t="s">
        <v>72</v>
      </c>
      <c r="AG4" s="94" t="s">
        <v>179</v>
      </c>
      <c r="AH4" s="94" t="s">
        <v>177</v>
      </c>
      <c r="AI4" s="94" t="s">
        <v>178</v>
      </c>
      <c r="AK4" s="23"/>
      <c r="AL4" s="23"/>
    </row>
    <row r="5" spans="1:40" s="30" customFormat="1">
      <c r="A5" s="35">
        <v>1</v>
      </c>
      <c r="B5" s="33">
        <v>2</v>
      </c>
      <c r="C5" s="33">
        <v>3</v>
      </c>
      <c r="D5"/>
      <c r="E5" s="33">
        <v>4</v>
      </c>
      <c r="F5" s="33">
        <v>4</v>
      </c>
      <c r="G5" s="783">
        <v>7</v>
      </c>
      <c r="H5" s="784"/>
      <c r="I5" s="33">
        <v>5</v>
      </c>
      <c r="J5" s="33">
        <v>6</v>
      </c>
      <c r="K5" s="34">
        <v>1</v>
      </c>
      <c r="L5" s="34">
        <v>11</v>
      </c>
      <c r="M5" s="38">
        <v>11</v>
      </c>
      <c r="N5" s="34">
        <v>12</v>
      </c>
      <c r="O5" s="34">
        <v>13</v>
      </c>
      <c r="P5" s="34">
        <v>2</v>
      </c>
      <c r="Q5" s="34">
        <v>3</v>
      </c>
      <c r="R5" s="34">
        <f>Q5+1</f>
        <v>4</v>
      </c>
      <c r="S5" s="34">
        <f>R5+1</f>
        <v>5</v>
      </c>
      <c r="T5" s="34">
        <f>S5+1</f>
        <v>6</v>
      </c>
      <c r="U5" s="34">
        <f>T5+1</f>
        <v>7</v>
      </c>
      <c r="V5" s="34">
        <f>U5+1</f>
        <v>8</v>
      </c>
      <c r="W5" s="34">
        <v>20</v>
      </c>
      <c r="X5" s="34">
        <v>21</v>
      </c>
      <c r="Y5" s="34">
        <f t="shared" ref="Y5:AD5" si="0">Q5+1</f>
        <v>4</v>
      </c>
      <c r="Z5" s="34">
        <f t="shared" si="0"/>
        <v>5</v>
      </c>
      <c r="AA5" s="34">
        <f t="shared" si="0"/>
        <v>6</v>
      </c>
      <c r="AB5" s="34">
        <f t="shared" si="0"/>
        <v>7</v>
      </c>
      <c r="AC5" s="34">
        <f t="shared" si="0"/>
        <v>8</v>
      </c>
      <c r="AD5" s="34">
        <f t="shared" si="0"/>
        <v>9</v>
      </c>
      <c r="AE5" s="34">
        <v>10</v>
      </c>
      <c r="AG5" s="37" t="s">
        <v>8</v>
      </c>
      <c r="AH5" s="46"/>
      <c r="AI5" s="93"/>
      <c r="AK5" s="23"/>
      <c r="AL5" s="23"/>
    </row>
    <row r="6" spans="1:40">
      <c r="A6" s="785">
        <v>1</v>
      </c>
      <c r="B6" s="25" t="s">
        <v>21</v>
      </c>
      <c r="C6" s="26" t="s">
        <v>106</v>
      </c>
      <c r="D6">
        <v>90</v>
      </c>
      <c r="E6" s="26">
        <v>1955</v>
      </c>
      <c r="F6" s="24">
        <v>80</v>
      </c>
      <c r="G6" s="24">
        <v>3</v>
      </c>
      <c r="H6" s="24"/>
      <c r="I6" s="24" t="e">
        <f>IF(E6&lt;=1966,#REF!,IF(E6&gt;1966,IF(E6&lt;=1985,#REF!,IF(E6&gt;1985,IF(E6&lt;=1992,#REF!,IF(E6&gt;1992,IF(E6&lt;=1996,#REF!,IF(E6&gt;1996,IF(E6&lt;=2013,#REF!)))))))))</f>
        <v>#REF!</v>
      </c>
      <c r="J6" s="26" t="s">
        <v>33</v>
      </c>
      <c r="K6" s="24" t="s">
        <v>8</v>
      </c>
      <c r="L6" s="24"/>
      <c r="M6" s="40"/>
      <c r="N6" s="28"/>
      <c r="O6" s="28"/>
      <c r="P6" s="56">
        <f>55+4</f>
        <v>59</v>
      </c>
      <c r="Q6" s="787">
        <f>(14000+12000+1000)/1000</f>
        <v>27</v>
      </c>
      <c r="R6" s="110" t="e">
        <f>IF(K6="węgiel",P6*#REF!,IF(K6="gaz",P6*#REF!,IF(K6="drewno",P6*#REF!,IF(K6="pelet",P6*#REF!,IF(K6="olej opałowy",P6*#REF!,IF(K6="sieć ciepłownicza",0,IF(K6="prąd",0,0)))))))</f>
        <v>#REF!</v>
      </c>
      <c r="S6" s="110" t="e">
        <f>IF(K6="węgiel",P6*#REF!,IF(K6="gaz",P6*#REF!,IF(K6="drewno",P6*#REF!,IF(K6="pelet",P6*#REF!,IF(K6="olej opałowy",P6*#REF!,IF(K6="sieć ciepłownicza",0,IF(K6="prąd",0,0)))))))</f>
        <v>#REF!</v>
      </c>
      <c r="T6" s="110" t="e">
        <f>IF(K6="węgiel",P6*#REF!,IF(K6="gaz",P6*#REF!,IF(K6="drewno",P6*#REF!,IF(K6="pelet",P6*#REF!,IF(K6="olej opałowy",P6*#REF!,IF(K6="sieć ciepłownicza",P6*#REF!,IF(K6="prąd",0,0)))))))</f>
        <v>#REF!</v>
      </c>
      <c r="U6" s="110" t="e">
        <f>IF(K6="węgiel",P6*#REF!,IF(K6="gaz",P6*#REF!,IF(K6="drewno",P6*#REF!,IF(K6="pelet",P6*#REF!,IF(K6="olej opałowy",P6*#REF!,IF(K6="sieć ciepłownicza",0,IF(K6="prąd",0,0)))))))</f>
        <v>#REF!</v>
      </c>
      <c r="V6" s="110" t="e">
        <f>IF(K6="węgiel",P6*#REF!, IF(K6="gaz",P6*#REF!,IF(K6="drewno",P6*#REF!,IF(K6="pelet",P6*#REF!,IF(K6="olej opałowy",P6*#REF!,IF(K6="sieć ciepłownicza",0,IF(K6="prąd",0,0)))))))</f>
        <v>#REF!</v>
      </c>
      <c r="W6" s="110" t="e">
        <f>IF(K6="węgiel",P6*#REF!, IF(K6="gaz",P6*#REF!, IF(K6="drewno",P6*#REF!,IF(K6="pelet",P6*#REF!,IF(K6="olej opałowy",P6*#REF!,IF(K6="sieć ciepłownicza",0,IF(K6="prąd",0,0)))))))</f>
        <v>#REF!</v>
      </c>
      <c r="X6" s="110" t="e">
        <f>IF(K6="węgiel",P6*#REF!,IF(K6="gaz",P6*#REF!, IF(K6="drewno",P6*#REF!,IF(K6="pelet",P6*#REF!,IF(K6="pelet",P6*#REF!,IF(K6="olej opałowy",P6*#REF!,IF(K6="sieć ciepłownicza",0,IF(K6="prąd",0,0))))))))</f>
        <v>#REF!</v>
      </c>
      <c r="Y6" s="29" t="e">
        <f>R6</f>
        <v>#REF!</v>
      </c>
      <c r="Z6" s="29" t="e">
        <f>S6</f>
        <v>#REF!</v>
      </c>
      <c r="AA6" s="29" t="e">
        <f>T6+Q6*#REF!</f>
        <v>#REF!</v>
      </c>
      <c r="AB6" s="29" t="e">
        <f>U6</f>
        <v>#REF!</v>
      </c>
      <c r="AC6" s="29" t="e">
        <f t="shared" ref="AC6:AE6" si="1">V6</f>
        <v>#REF!</v>
      </c>
      <c r="AD6" s="29" t="e">
        <f t="shared" si="1"/>
        <v>#REF!</v>
      </c>
      <c r="AE6" s="29" t="e">
        <f t="shared" si="1"/>
        <v>#REF!</v>
      </c>
      <c r="AG6" s="37" t="s">
        <v>116</v>
      </c>
      <c r="AH6" s="46"/>
      <c r="AI6" s="93"/>
      <c r="AK6" s="23">
        <v>0.04</v>
      </c>
      <c r="AL6" s="23" t="s">
        <v>257</v>
      </c>
      <c r="AM6" s="23">
        <v>5400</v>
      </c>
      <c r="AN6" s="23">
        <f>AK6*AM6</f>
        <v>216</v>
      </c>
    </row>
    <row r="7" spans="1:40" ht="15" customHeight="1">
      <c r="A7" s="786"/>
      <c r="B7" s="25"/>
      <c r="C7" s="26"/>
      <c r="E7" s="26"/>
      <c r="F7" s="24"/>
      <c r="G7" s="24"/>
      <c r="H7" s="24"/>
      <c r="I7" s="24" t="e">
        <f>IF(E7&lt;=1966,#REF!,IF(E7&gt;1966,IF(E7&lt;=1985,#REF!,IF(E7&gt;1985,IF(E7&lt;=1992,#REF!,IF(E7&gt;1992,IF(E7&lt;=1996,#REF!,IF(E7&gt;1996,IF(E7&lt;=2013,#REF!)))))))))</f>
        <v>#REF!</v>
      </c>
      <c r="J7" s="26"/>
      <c r="K7" s="24" t="s">
        <v>26</v>
      </c>
      <c r="L7" s="24"/>
      <c r="M7" s="40"/>
      <c r="N7" s="28"/>
      <c r="O7" s="28"/>
      <c r="P7" s="56" t="e">
        <f>5400*#REF!</f>
        <v>#REF!</v>
      </c>
      <c r="Q7" s="788"/>
      <c r="R7" s="110" t="e">
        <f>IF(K7="węgiel",P7*#REF!,IF(K7="gaz",P7*#REF!,IF(K7="drewno",P7*#REF!,IF(K7="pelet",P7*#REF!,IF(K7="olej opałowy",P7*#REF!,IF(K7="sieć ciepłownicza",0,IF(K7="prąd",0,0)))))))</f>
        <v>#REF!</v>
      </c>
      <c r="S7" s="110" t="e">
        <f>IF(K7="węgiel",P7*#REF!,IF(K7="gaz",P7*#REF!,IF(K7="drewno",P7*#REF!,IF(K7="pelet",P7*#REF!,IF(K7="olej opałowy",P7*#REF!,IF(K7="sieć ciepłownicza",0,IF(K7="prąd",0,0)))))))</f>
        <v>#REF!</v>
      </c>
      <c r="T7" s="110" t="e">
        <f>IF(K7="węgiel",P7*#REF!,IF(K7="gaz",P7*#REF!,IF(K7="drewno",P7*#REF!,IF(K7="pelet",P7*#REF!,IF(K7="olej opałowy",P7*#REF!,IF(K7="sieć ciepłownicza",P7*#REF!,IF(K7="prąd",0,0)))))))</f>
        <v>#REF!</v>
      </c>
      <c r="U7" s="110" t="e">
        <f>IF(K7="węgiel",P7*#REF!,IF(K7="gaz",P7*#REF!,IF(K7="drewno",P7*#REF!,IF(K7="pelet",P7*#REF!,IF(K7="olej opałowy",P7*#REF!,IF(K7="sieć ciepłownicza",0,IF(K7="prąd",0,0)))))))</f>
        <v>#REF!</v>
      </c>
      <c r="V7" s="110" t="e">
        <f>IF(K7="węgiel",P7*#REF!, IF(K7="gaz",P7*#REF!,IF(K7="drewno",P7*#REF!,IF(K7="pelet",P7*#REF!,IF(K7="olej opałowy",P7*#REF!,IF(K7="sieć ciepłownicza",0,IF(K7="prąd",0,0)))))))</f>
        <v>#REF!</v>
      </c>
      <c r="W7" s="110" t="e">
        <f>IF(K7="węgiel",P7*#REF!, IF(K7="gaz",P7*#REF!, IF(K7="drewno",P7*#REF!,IF(K7="pelet",P7*#REF!,IF(K7="olej opałowy",P7*#REF!,IF(K7="sieć ciepłownicza",0,IF(K7="prąd",0,0)))))))</f>
        <v>#REF!</v>
      </c>
      <c r="X7" s="110" t="e">
        <f>IF(K7="węgiel",P7*#REF!,IF(K7="gaz",P7*#REF!, IF(K7="drewno",P7*#REF!,IF(K7="pelet",P7*#REF!,IF(K7="pelet",P7*#REF!,IF(K7="olej opałowy",P7*#REF!,IF(K7="sieć ciepłownicza",0,IF(K7="prąd",0,0))))))))</f>
        <v>#REF!</v>
      </c>
      <c r="Y7" s="29" t="e">
        <f t="shared" ref="Y7:Y12" si="2">R7</f>
        <v>#REF!</v>
      </c>
      <c r="Z7" s="29" t="e">
        <f t="shared" ref="Z7:Z12" si="3">S7</f>
        <v>#REF!</v>
      </c>
      <c r="AA7" s="29" t="e">
        <f>T7+Q7*#REF!</f>
        <v>#REF!</v>
      </c>
      <c r="AB7" s="29" t="e">
        <f t="shared" ref="AB7:AB12" si="4">U7</f>
        <v>#REF!</v>
      </c>
      <c r="AC7" s="29" t="e">
        <f t="shared" ref="AC7:AC12" si="5">V7</f>
        <v>#REF!</v>
      </c>
      <c r="AD7" s="29" t="e">
        <f t="shared" ref="AD7:AD12" si="6">W7</f>
        <v>#REF!</v>
      </c>
      <c r="AE7" s="29" t="e">
        <f t="shared" ref="AE7:AE12" si="7">X7</f>
        <v>#REF!</v>
      </c>
      <c r="AG7" s="37" t="s">
        <v>79</v>
      </c>
      <c r="AH7" s="46"/>
      <c r="AI7" s="93"/>
    </row>
    <row r="8" spans="1:40">
      <c r="A8" s="785">
        <v>2</v>
      </c>
      <c r="B8" s="25" t="s">
        <v>21</v>
      </c>
      <c r="C8" s="26" t="s">
        <v>107</v>
      </c>
      <c r="D8">
        <v>94</v>
      </c>
      <c r="E8" s="26">
        <v>1991</v>
      </c>
      <c r="F8" s="24">
        <v>200</v>
      </c>
      <c r="G8" s="24">
        <v>3</v>
      </c>
      <c r="H8" s="24"/>
      <c r="I8" s="24" t="e">
        <f>IF(E8&lt;=1966,#REF!,IF(E8&gt;1966,IF(E8&lt;=1985,#REF!,IF(E8&gt;1985,IF(E8&lt;=1992,#REF!,IF(E8&gt;1992,IF(E8&lt;=1996,#REF!,IF(E8&gt;1996,IF(E8&lt;=2013,#REF!)))))))))</f>
        <v>#REF!</v>
      </c>
      <c r="J8" s="26" t="s">
        <v>32</v>
      </c>
      <c r="K8" s="24" t="s">
        <v>79</v>
      </c>
      <c r="L8" s="24"/>
      <c r="M8" s="40"/>
      <c r="N8" s="28"/>
      <c r="O8" s="28"/>
      <c r="P8" s="56"/>
      <c r="Q8" s="788"/>
      <c r="R8" s="110" t="e">
        <f>IF(K8="węgiel",P8*#REF!,IF(K8="gaz",P8*#REF!,IF(K8="drewno",P8*#REF!,IF(K8="pelet",P8*#REF!,IF(K8="olej opałowy",P8*#REF!,IF(K8="sieć ciepłownicza",0,IF(K8="prąd",0,0)))))))</f>
        <v>#REF!</v>
      </c>
      <c r="S8" s="110" t="e">
        <f>IF(K8="węgiel",P8*#REF!,IF(K8="gaz",P8*#REF!,IF(K8="drewno",P8*#REF!,IF(K8="pelet",P8*#REF!,IF(K8="olej opałowy",P8*#REF!,IF(K8="sieć ciepłownicza",0,IF(K8="prąd",0,0)))))))</f>
        <v>#REF!</v>
      </c>
      <c r="T8" s="110" t="e">
        <f>IF(K8="węgiel",P8*#REF!,IF(K8="gaz",P8*#REF!,IF(K8="drewno",P8*#REF!,IF(K8="pelet",P8*#REF!,IF(K8="olej opałowy",P8*#REF!,IF(K8="sieć ciepłownicza",P8*#REF!,IF(K8="prąd",0,0)))))))</f>
        <v>#REF!</v>
      </c>
      <c r="U8" s="110" t="e">
        <f>IF(K8="węgiel",P8*#REF!,IF(K8="gaz",P8*#REF!,IF(K8="drewno",P8*#REF!,IF(K8="pelet",P8*#REF!,IF(K8="olej opałowy",P8*#REF!,IF(K8="sieć ciepłownicza",0,IF(K8="prąd",0,0)))))))</f>
        <v>#REF!</v>
      </c>
      <c r="V8" s="110" t="e">
        <f>IF(K8="węgiel",P8*#REF!, IF(K8="gaz",P8*#REF!,IF(K8="drewno",P8*#REF!,IF(K8="pelet",P8*#REF!,IF(K8="olej opałowy",P8*#REF!,IF(K8="sieć ciepłownicza",0,IF(K8="prąd",0,0)))))))</f>
        <v>#REF!</v>
      </c>
      <c r="W8" s="110" t="e">
        <f>IF(K8="węgiel",P8*#REF!, IF(K8="gaz",P8*#REF!, IF(K8="drewno",P8*#REF!,IF(K8="pelet",P8*#REF!,IF(K8="olej opałowy",P8*#REF!,IF(K8="sieć ciepłownicza",0,IF(K8="prąd",0,0)))))))</f>
        <v>#REF!</v>
      </c>
      <c r="X8" s="110" t="e">
        <f>IF(K8="węgiel",P8*#REF!,IF(K8="gaz",P8*#REF!, IF(K8="drewno",P8*#REF!,IF(K8="pelet",P8*#REF!,IF(K8="pelet",P8*#REF!,IF(K8="olej opałowy",P8*#REF!,IF(K8="sieć ciepłownicza",0,IF(K8="prąd",0,0))))))))</f>
        <v>#REF!</v>
      </c>
      <c r="Y8" s="29" t="e">
        <f t="shared" si="2"/>
        <v>#REF!</v>
      </c>
      <c r="Z8" s="29" t="e">
        <f t="shared" si="3"/>
        <v>#REF!</v>
      </c>
      <c r="AA8" s="29" t="e">
        <f>T8+Q8*#REF!</f>
        <v>#REF!</v>
      </c>
      <c r="AB8" s="29" t="e">
        <f t="shared" si="4"/>
        <v>#REF!</v>
      </c>
      <c r="AC8" s="29" t="e">
        <f t="shared" si="5"/>
        <v>#REF!</v>
      </c>
      <c r="AD8" s="29" t="e">
        <f t="shared" si="6"/>
        <v>#REF!</v>
      </c>
      <c r="AE8" s="29" t="e">
        <f t="shared" si="7"/>
        <v>#REF!</v>
      </c>
      <c r="AG8" s="37" t="s">
        <v>27</v>
      </c>
      <c r="AH8" s="46"/>
      <c r="AI8" s="93"/>
    </row>
    <row r="9" spans="1:40">
      <c r="A9" s="786"/>
      <c r="B9" s="25"/>
      <c r="C9" s="26"/>
      <c r="E9" s="26"/>
      <c r="F9" s="24"/>
      <c r="G9" s="24"/>
      <c r="H9" s="24"/>
      <c r="I9" s="24" t="e">
        <f>IF(E9&lt;=1966,#REF!,IF(E9&gt;1966,IF(E9&lt;=1985,#REF!,IF(E9&gt;1985,IF(E9&lt;=1992,#REF!,IF(E9&gt;1992,IF(E9&lt;=1996,#REF!,IF(E9&gt;1996,IF(E9&lt;=2013,#REF!)))))))))</f>
        <v>#REF!</v>
      </c>
      <c r="J9" s="26"/>
      <c r="K9" s="24" t="s">
        <v>27</v>
      </c>
      <c r="L9" s="24"/>
      <c r="M9" s="40"/>
      <c r="N9" s="28"/>
      <c r="O9" s="28"/>
      <c r="P9" s="56"/>
      <c r="Q9" s="788"/>
      <c r="R9" s="110" t="e">
        <f>IF(K9="węgiel",P9*#REF!,IF(K9="gaz",P9*#REF!,IF(K9="drewno",P9*#REF!,IF(K9="pelet",P9*#REF!,IF(K9="olej opałowy",P9*#REF!,IF(K9="sieć ciepłownicza",0,IF(K9="prąd",0,0)))))))</f>
        <v>#REF!</v>
      </c>
      <c r="S9" s="110" t="e">
        <f>IF(K9="węgiel",P9*#REF!,IF(K9="gaz",P9*#REF!,IF(K9="drewno",P9*#REF!,IF(K9="pelet",P9*#REF!,IF(K9="olej opałowy",P9*#REF!,IF(K9="sieć ciepłownicza",0,IF(K9="prąd",0,0)))))))</f>
        <v>#REF!</v>
      </c>
      <c r="T9" s="110" t="e">
        <f>IF(K9="węgiel",P9*#REF!,IF(K9="gaz",P9*#REF!,IF(K9="drewno",P9*#REF!,IF(K9="pelet",P9*#REF!,IF(K9="olej opałowy",P9*#REF!,IF(K9="sieć ciepłownicza",P9*#REF!,IF(K9="prąd",0,0)))))))</f>
        <v>#REF!</v>
      </c>
      <c r="U9" s="110" t="e">
        <f>IF(K9="węgiel",P9*#REF!,IF(K9="gaz",P9*#REF!,IF(K9="drewno",P9*#REF!,IF(K9="pelet",P9*#REF!,IF(K9="olej opałowy",P9*#REF!,IF(K9="sieć ciepłownicza",0,IF(K9="prąd",0,0)))))))</f>
        <v>#REF!</v>
      </c>
      <c r="V9" s="110" t="e">
        <f>IF(K9="węgiel",P9*#REF!, IF(K9="gaz",P9*#REF!,IF(K9="drewno",P9*#REF!,IF(K9="pelet",P9*#REF!,IF(K9="olej opałowy",P9*#REF!,IF(K9="sieć ciepłownicza",0,IF(K9="prąd",0,0)))))))</f>
        <v>#REF!</v>
      </c>
      <c r="W9" s="110" t="e">
        <f>IF(K9="węgiel",P9*#REF!, IF(K9="gaz",P9*#REF!, IF(K9="drewno",P9*#REF!,IF(K9="pelet",P9*#REF!,IF(K9="olej opałowy",P9*#REF!,IF(K9="sieć ciepłownicza",0,IF(K9="prąd",0,0)))))))</f>
        <v>#REF!</v>
      </c>
      <c r="X9" s="110" t="e">
        <f>IF(K9="węgiel",P9*#REF!,IF(K9="gaz",P9*#REF!, IF(K9="drewno",P9*#REF!,IF(K9="pelet",P9*#REF!,IF(K9="pelet",P9*#REF!,IF(K9="olej opałowy",P9*#REF!,IF(K9="sieć ciepłownicza",0,IF(K9="prąd",0,0))))))))</f>
        <v>#REF!</v>
      </c>
      <c r="Y9" s="29" t="e">
        <f t="shared" si="2"/>
        <v>#REF!</v>
      </c>
      <c r="Z9" s="29" t="e">
        <f t="shared" si="3"/>
        <v>#REF!</v>
      </c>
      <c r="AA9" s="29" t="e">
        <f>T9+Q9*#REF!</f>
        <v>#REF!</v>
      </c>
      <c r="AB9" s="29" t="e">
        <f t="shared" si="4"/>
        <v>#REF!</v>
      </c>
      <c r="AC9" s="29" t="e">
        <f t="shared" si="5"/>
        <v>#REF!</v>
      </c>
      <c r="AD9" s="29" t="e">
        <f t="shared" si="6"/>
        <v>#REF!</v>
      </c>
      <c r="AE9" s="29" t="e">
        <f t="shared" si="7"/>
        <v>#REF!</v>
      </c>
      <c r="AG9" s="37" t="s">
        <v>117</v>
      </c>
      <c r="AH9" s="46"/>
      <c r="AI9" s="93"/>
    </row>
    <row r="10" spans="1:40">
      <c r="A10" s="785">
        <v>3</v>
      </c>
      <c r="B10" s="25" t="s">
        <v>21</v>
      </c>
      <c r="C10" s="790" t="s">
        <v>108</v>
      </c>
      <c r="D10">
        <v>21</v>
      </c>
      <c r="E10" s="26">
        <v>1960</v>
      </c>
      <c r="F10" s="24">
        <v>97</v>
      </c>
      <c r="G10" s="24">
        <v>3</v>
      </c>
      <c r="H10" s="24"/>
      <c r="I10" s="24" t="e">
        <f>IF(E10&lt;=1966,#REF!,IF(E10&gt;1966,IF(E10&lt;=1985,#REF!,IF(E10&gt;1985,IF(E10&lt;=1992,#REF!,IF(E10&gt;1992,IF(E10&lt;=1996,#REF!,IF(E10&gt;1996,IF(E10&lt;=2013,#REF!)))))))))</f>
        <v>#REF!</v>
      </c>
      <c r="J10" s="26" t="s">
        <v>32</v>
      </c>
      <c r="K10" s="24" t="s">
        <v>7</v>
      </c>
      <c r="L10" s="24"/>
      <c r="M10" s="40"/>
      <c r="N10" s="28"/>
      <c r="O10" s="28"/>
      <c r="P10" s="56"/>
      <c r="Q10" s="788"/>
      <c r="R10" s="110" t="e">
        <f>IF(K10="węgiel",P10*#REF!,IF(K10="gaz",P10*#REF!,IF(K10="drewno",P10*#REF!,IF(K10="pelet",P10*#REF!,IF(K10="olej opałowy",P10*#REF!,IF(K10="sieć ciepłownicza",0,IF(K10="prąd",0,0)))))))</f>
        <v>#REF!</v>
      </c>
      <c r="S10" s="110" t="e">
        <f>IF(K10="węgiel",P10*#REF!,IF(K10="gaz",P10*#REF!,IF(K10="drewno",P10*#REF!,IF(K10="pelet",P10*#REF!,IF(K10="olej opałowy",P10*#REF!,IF(K10="sieć ciepłownicza",0,IF(K10="prąd",0,0)))))))</f>
        <v>#REF!</v>
      </c>
      <c r="T10" s="110" t="e">
        <f>IF(K10="węgiel",P10*#REF!,IF(K10="gaz",P10*#REF!,IF(K10="drewno",P10*#REF!,IF(K10="pelet",P10*#REF!,IF(K10="olej opałowy",P10*#REF!,IF(K10="sieć ciepłownicza",P10*#REF!,IF(K10="prąd",0,0)))))))</f>
        <v>#REF!</v>
      </c>
      <c r="U10" s="110" t="e">
        <f>IF(K10="węgiel",P10*#REF!,IF(K10="gaz",P10*#REF!,IF(K10="drewno",P10*#REF!,IF(K10="pelet",P10*#REF!,IF(K10="olej opałowy",P10*#REF!,IF(K10="sieć ciepłownicza",0,IF(K10="prąd",0,0)))))))</f>
        <v>#REF!</v>
      </c>
      <c r="V10" s="110" t="e">
        <f>IF(K10="węgiel",P10*#REF!, IF(K10="gaz",P10*#REF!,IF(K10="drewno",P10*#REF!,IF(K10="pelet",P10*#REF!,IF(K10="olej opałowy",P10*#REF!,IF(K10="sieć ciepłownicza",0,IF(K10="prąd",0,0)))))))</f>
        <v>#REF!</v>
      </c>
      <c r="W10" s="110" t="e">
        <f>IF(K10="węgiel",P10*#REF!, IF(K10="gaz",P10*#REF!, IF(K10="drewno",P10*#REF!,IF(K10="pelet",P10*#REF!,IF(K10="olej opałowy",P10*#REF!,IF(K10="sieć ciepłownicza",0,IF(K10="prąd",0,0)))))))</f>
        <v>#REF!</v>
      </c>
      <c r="X10" s="110" t="e">
        <f>IF(K10="węgiel",P10*#REF!,IF(K10="gaz",P10*#REF!, IF(K10="drewno",P10*#REF!,IF(K10="pelet",P10*#REF!,IF(K10="pelet",P10*#REF!,IF(K10="olej opałowy",P10*#REF!,IF(K10="sieć ciepłownicza",0,IF(K10="prąd",0,0))))))))</f>
        <v>#REF!</v>
      </c>
      <c r="Y10" s="29" t="e">
        <f t="shared" si="2"/>
        <v>#REF!</v>
      </c>
      <c r="Z10" s="29" t="e">
        <f t="shared" si="3"/>
        <v>#REF!</v>
      </c>
      <c r="AA10" s="29" t="e">
        <f>T10+Q10*#REF!</f>
        <v>#REF!</v>
      </c>
      <c r="AB10" s="29" t="e">
        <f t="shared" si="4"/>
        <v>#REF!</v>
      </c>
      <c r="AC10" s="29" t="e">
        <f t="shared" si="5"/>
        <v>#REF!</v>
      </c>
      <c r="AD10" s="29" t="e">
        <f t="shared" si="6"/>
        <v>#REF!</v>
      </c>
      <c r="AE10" s="29" t="e">
        <f t="shared" si="7"/>
        <v>#REF!</v>
      </c>
      <c r="AG10" s="37" t="s">
        <v>29</v>
      </c>
      <c r="AH10" s="46"/>
      <c r="AI10" s="93"/>
    </row>
    <row r="11" spans="1:40" ht="25.5">
      <c r="A11" s="786"/>
      <c r="B11" s="25"/>
      <c r="C11" s="791"/>
      <c r="E11" s="26"/>
      <c r="F11" s="24"/>
      <c r="G11" s="24"/>
      <c r="H11" s="24"/>
      <c r="I11" s="24" t="e">
        <f>IF(E11&lt;=1966,#REF!,IF(E11&gt;1966,IF(E11&lt;=1985,#REF!,IF(E11&gt;1985,IF(E11&lt;=1992,#REF!,IF(E11&gt;1992,IF(E11&lt;=1996,#REF!,IF(E11&gt;1996,IF(E11&lt;=2013,#REF!)))))))))</f>
        <v>#REF!</v>
      </c>
      <c r="J11" s="26"/>
      <c r="K11" s="24" t="s">
        <v>29</v>
      </c>
      <c r="L11" s="24"/>
      <c r="M11" s="40"/>
      <c r="N11" s="28"/>
      <c r="O11" s="28"/>
      <c r="P11" s="56"/>
      <c r="Q11" s="788"/>
      <c r="R11" s="110">
        <f>IF(K11="węgiel",P11*#REF!,IF(K11="gaz",P11*#REF!,IF(K11="drewno",P11*#REF!,IF(K11="pelet",P11*#REF!,IF(K11="olej opałowy",P11*#REF!,IF(K11="sieć ciepłownicza",0,IF(K11="prąd",0,0)))))))</f>
        <v>0</v>
      </c>
      <c r="S11" s="110">
        <f>IF(K11="węgiel",P11*#REF!,IF(K11="gaz",P11*#REF!,IF(K11="drewno",P11*#REF!,IF(K11="pelet",P11*#REF!,IF(K11="olej opałowy",P11*#REF!,IF(K11="sieć ciepłownicza",0,IF(K11="prąd",0,0)))))))</f>
        <v>0</v>
      </c>
      <c r="T11" s="110">
        <f>IF(K11="węgiel",P11*#REF!,IF(K11="gaz",P11*#REF!,IF(K11="drewno",P11*#REF!,IF(K11="pelet",P11*#REF!,IF(K11="olej opałowy",P11*#REF!,IF(K11="sieć ciepłownicza",P11*#REF!,IF(K11="prąd",0,0)))))))</f>
        <v>0</v>
      </c>
      <c r="U11" s="110">
        <f>IF(K11="węgiel",P11*#REF!,IF(K11="gaz",P11*#REF!,IF(K11="drewno",P11*#REF!,IF(K11="pelet",P11*#REF!,IF(K11="olej opałowy",P11*#REF!,IF(K11="sieć ciepłownicza",0,IF(K11="prąd",0,0)))))))</f>
        <v>0</v>
      </c>
      <c r="V11" s="110">
        <f>IF(K11="węgiel",P11*#REF!, IF(K11="gaz",P11*#REF!,IF(K11="drewno",P11*#REF!,IF(K11="pelet",P11*#REF!,IF(K11="olej opałowy",P11*#REF!,IF(K11="sieć ciepłownicza",0,IF(K11="prąd",0,0)))))))</f>
        <v>0</v>
      </c>
      <c r="W11" s="110">
        <f>IF(K11="węgiel",P11*#REF!, IF(K11="gaz",P11*#REF!, IF(K11="drewno",P11*#REF!,IF(K11="pelet",P11*#REF!,IF(K11="olej opałowy",P11*#REF!,IF(K11="sieć ciepłownicza",0,IF(K11="prąd",0,0)))))))</f>
        <v>0</v>
      </c>
      <c r="X11" s="110">
        <f>IF(K11="węgiel",P11*#REF!,IF(K11="gaz",P11*#REF!, IF(K11="drewno",P11*#REF!,IF(K11="pelet",P11*#REF!,IF(K11="pelet",P11*#REF!,IF(K11="olej opałowy",P11*#REF!,IF(K11="sieć ciepłownicza",0,IF(K11="prąd",0,0))))))))</f>
        <v>0</v>
      </c>
      <c r="Y11" s="29">
        <f t="shared" si="2"/>
        <v>0</v>
      </c>
      <c r="Z11" s="29">
        <f t="shared" si="3"/>
        <v>0</v>
      </c>
      <c r="AA11" s="29" t="e">
        <f>T11+Q11*#REF!</f>
        <v>#REF!</v>
      </c>
      <c r="AB11" s="29">
        <f t="shared" si="4"/>
        <v>0</v>
      </c>
      <c r="AC11" s="29">
        <f t="shared" si="5"/>
        <v>0</v>
      </c>
      <c r="AD11" s="29">
        <f t="shared" si="6"/>
        <v>0</v>
      </c>
      <c r="AE11" s="29">
        <f t="shared" si="7"/>
        <v>0</v>
      </c>
      <c r="AG11" s="90" t="s">
        <v>128</v>
      </c>
      <c r="AH11" s="46"/>
      <c r="AI11" s="93"/>
    </row>
    <row r="12" spans="1:40" ht="14.25" customHeight="1">
      <c r="A12" s="53">
        <v>4</v>
      </c>
      <c r="B12" s="25" t="s">
        <v>21</v>
      </c>
      <c r="C12" s="43" t="s">
        <v>108</v>
      </c>
      <c r="D12">
        <v>23</v>
      </c>
      <c r="E12" s="26">
        <v>1920</v>
      </c>
      <c r="F12" s="24">
        <v>100</v>
      </c>
      <c r="G12" s="24">
        <v>3</v>
      </c>
      <c r="H12" s="24"/>
      <c r="I12" s="24" t="e">
        <f>IF(E12&lt;=1966,#REF!,IF(E12&gt;1966,IF(E12&lt;=1985,#REF!,IF(E12&gt;1985,IF(E12&lt;=1992,#REF!,IF(E12&gt;1992,IF(E12&lt;=1996,#REF!,IF(E12&gt;1996,IF(E12&lt;=2013,#REF!)))))))))</f>
        <v>#REF!</v>
      </c>
      <c r="J12" s="26" t="s">
        <v>33</v>
      </c>
      <c r="K12" s="39" t="s">
        <v>171</v>
      </c>
      <c r="L12" s="24"/>
      <c r="M12" s="40"/>
      <c r="N12" s="28"/>
      <c r="O12" s="28"/>
      <c r="P12" s="56"/>
      <c r="Q12" s="789"/>
      <c r="R12" s="110">
        <f>IF(K12="węgiel",P12*#REF!,IF(K12="gaz",P12*#REF!,IF(K12="drewno",P12*#REF!,IF(K12="pelet",P12*#REF!,IF(K12="olej opałowy",P12*#REF!,IF(K12="sieć ciepłownicza",0,IF(K12="prąd",0,0)))))))</f>
        <v>0</v>
      </c>
      <c r="S12" s="110">
        <f>IF(K12="węgiel",P12*#REF!,IF(K12="gaz",P12*#REF!,IF(K12="drewno",P12*#REF!,IF(K12="pelet",P12*#REF!,IF(K12="olej opałowy",P12*#REF!,IF(K12="sieć ciepłownicza",0,IF(K12="prąd",0,0)))))))</f>
        <v>0</v>
      </c>
      <c r="T12" s="110">
        <f>IF(K12="węgiel",P12*#REF!,IF(K12="gaz",P12*#REF!,IF(K12="drewno",P12*#REF!,IF(K12="pelet",P12*#REF!,IF(K12="olej opałowy",P12*#REF!,IF(K12="sieć ciepłownicza",P12*#REF!,IF(K12="prąd",0,0)))))))</f>
        <v>0</v>
      </c>
      <c r="U12" s="110">
        <f>IF(K12="węgiel",P12*#REF!,IF(K12="gaz",P12*#REF!,IF(K12="drewno",P12*#REF!,IF(K12="pelet",P12*#REF!,IF(K12="olej opałowy",P12*#REF!,IF(K12="sieć ciepłownicza",0,IF(K12="prąd",0,0)))))))</f>
        <v>0</v>
      </c>
      <c r="V12" s="110">
        <f>IF(K12="węgiel",P12*#REF!, IF(K12="gaz",P12*#REF!,IF(K12="drewno",P12*#REF!,IF(K12="pelet",P12*#REF!,IF(K12="olej opałowy",P12*#REF!,IF(K12="sieć ciepłownicza",0,IF(K12="prąd",0,0)))))))</f>
        <v>0</v>
      </c>
      <c r="W12" s="110">
        <f>IF(K12="węgiel",P12*#REF!, IF(K12="gaz",P12*#REF!, IF(K12="drewno",P12*#REF!,IF(K12="pelet",P12*#REF!,IF(K12="olej opałowy",P12*#REF!,IF(K12="sieć ciepłownicza",0,IF(K12="prąd",0,0)))))))</f>
        <v>0</v>
      </c>
      <c r="X12" s="110">
        <f>IF(K12="węgiel",P12*#REF!,IF(K12="gaz",P12*#REF!, IF(K12="drewno",P12*#REF!,IF(K12="pelet",P12*#REF!,IF(K12="pelet",P12*#REF!,IF(K12="olej opałowy",P12*#REF!,IF(K12="sieć ciepłownicza",0,IF(K12="prąd",0,0))))))))</f>
        <v>0</v>
      </c>
      <c r="Y12" s="29">
        <f t="shared" si="2"/>
        <v>0</v>
      </c>
      <c r="Z12" s="29">
        <f t="shared" si="3"/>
        <v>0</v>
      </c>
      <c r="AA12" s="29" t="e">
        <f>T12+Q12*#REF!</f>
        <v>#REF!</v>
      </c>
      <c r="AB12" s="29">
        <f t="shared" si="4"/>
        <v>0</v>
      </c>
      <c r="AC12" s="29">
        <f t="shared" si="5"/>
        <v>0</v>
      </c>
      <c r="AD12" s="29">
        <f t="shared" si="6"/>
        <v>0</v>
      </c>
      <c r="AE12" s="29">
        <f t="shared" si="7"/>
        <v>0</v>
      </c>
      <c r="AG12" s="25" t="s">
        <v>119</v>
      </c>
      <c r="AH12" s="46">
        <f>SUM(AH5:AH11)</f>
        <v>0</v>
      </c>
      <c r="AI12" s="93"/>
    </row>
    <row r="13" spans="1:40">
      <c r="G13" s="25" t="s">
        <v>31</v>
      </c>
      <c r="H13" s="41" t="e">
        <f>J13/$J$14</f>
        <v>#DIV/0!</v>
      </c>
      <c r="I13" s="25" t="s">
        <v>121</v>
      </c>
      <c r="J13" s="39">
        <f>COUNTIF(J6:J12,"brak")</f>
        <v>0</v>
      </c>
      <c r="K13" s="91" t="s">
        <v>174</v>
      </c>
      <c r="L13" s="91"/>
      <c r="M13" s="91"/>
      <c r="N13" s="91"/>
      <c r="O13" s="91"/>
      <c r="P13" s="91"/>
      <c r="Q13" s="92">
        <f>Q6</f>
        <v>27</v>
      </c>
      <c r="Y13" s="45" t="e">
        <f>SUM(Y6:Y12)</f>
        <v>#REF!</v>
      </c>
      <c r="Z13" s="45" t="e">
        <f t="shared" ref="Z13:AE13" si="8">SUM(Z6:Z12)</f>
        <v>#REF!</v>
      </c>
      <c r="AA13" s="45" t="e">
        <f t="shared" si="8"/>
        <v>#REF!</v>
      </c>
      <c r="AB13" s="58" t="e">
        <f t="shared" si="8"/>
        <v>#REF!</v>
      </c>
      <c r="AC13" s="45" t="e">
        <f t="shared" si="8"/>
        <v>#REF!</v>
      </c>
      <c r="AD13" s="45" t="e">
        <f t="shared" si="8"/>
        <v>#REF!</v>
      </c>
      <c r="AE13" s="45" t="e">
        <f t="shared" si="8"/>
        <v>#REF!</v>
      </c>
    </row>
    <row r="14" spans="1:40">
      <c r="J14" s="23">
        <f>SUM(J13:J13)</f>
        <v>0</v>
      </c>
      <c r="Y14" s="57" t="e">
        <f>Y13</f>
        <v>#REF!</v>
      </c>
      <c r="Z14" s="57" t="e">
        <f>Z13</f>
        <v>#REF!</v>
      </c>
      <c r="AA14" s="23" t="e">
        <f>AA13/100</f>
        <v>#REF!</v>
      </c>
      <c r="AB14" s="57" t="e">
        <f>AB13</f>
        <v>#REF!</v>
      </c>
      <c r="AC14" s="57" t="e">
        <f>AC13</f>
        <v>#REF!</v>
      </c>
      <c r="AD14" s="57" t="e">
        <f>AD13</f>
        <v>#REF!</v>
      </c>
      <c r="AE14" s="57" t="e">
        <f>AE13</f>
        <v>#REF!</v>
      </c>
      <c r="AK14" s="95"/>
      <c r="AL14" s="95"/>
    </row>
    <row r="15" spans="1:40" ht="15">
      <c r="N15" s="30"/>
      <c r="O15" s="54"/>
      <c r="P15" s="54"/>
      <c r="AK15" s="59"/>
      <c r="AL15" s="59"/>
    </row>
    <row r="16" spans="1:40">
      <c r="D16" s="25" t="s">
        <v>129</v>
      </c>
      <c r="N16" s="55"/>
      <c r="O16" s="54"/>
      <c r="P16" s="54"/>
    </row>
    <row r="17" spans="1:38" ht="48" customHeight="1">
      <c r="C17" s="49"/>
      <c r="D17" s="51">
        <v>850</v>
      </c>
      <c r="E17" s="47" t="s">
        <v>130</v>
      </c>
      <c r="H17" s="23" t="s">
        <v>120</v>
      </c>
      <c r="N17" s="55"/>
      <c r="O17" s="54"/>
      <c r="P17" s="54"/>
      <c r="AK17" s="59"/>
      <c r="AL17" s="59"/>
    </row>
    <row r="18" spans="1:38" ht="15">
      <c r="C18" s="50"/>
      <c r="D18" s="52">
        <v>1584</v>
      </c>
      <c r="E18" s="48" t="s">
        <v>98</v>
      </c>
      <c r="H18" s="23">
        <f>520</f>
        <v>520</v>
      </c>
      <c r="J18" s="23" t="s">
        <v>97</v>
      </c>
      <c r="N18" s="55"/>
      <c r="O18" s="54"/>
      <c r="P18" s="54"/>
      <c r="AK18" s="59"/>
      <c r="AL18" s="59"/>
    </row>
    <row r="19" spans="1:38">
      <c r="C19" s="23">
        <v>3.7</v>
      </c>
      <c r="D19">
        <f>D18/D17</f>
        <v>1.8635294117647059</v>
      </c>
      <c r="E19" s="23" t="s">
        <v>131</v>
      </c>
      <c r="N19" s="55"/>
      <c r="O19" s="54"/>
      <c r="P19" s="54"/>
    </row>
    <row r="20" spans="1:38">
      <c r="C20" s="23" t="s">
        <v>134</v>
      </c>
      <c r="D20" t="e">
        <f>(#REF!+#REF!)/D21</f>
        <v>#REF!</v>
      </c>
      <c r="E20" s="23" t="e">
        <f>D20*E21/D21</f>
        <v>#REF!</v>
      </c>
      <c r="F20" s="23" t="s">
        <v>133</v>
      </c>
      <c r="N20" s="30"/>
      <c r="O20" s="54"/>
    </row>
    <row r="21" spans="1:38">
      <c r="C21" s="23" t="s">
        <v>132</v>
      </c>
      <c r="D21">
        <v>191</v>
      </c>
      <c r="E21" s="23">
        <f>D21*D19</f>
        <v>355.93411764705883</v>
      </c>
    </row>
    <row r="22" spans="1:38" ht="15">
      <c r="G22" s="782" t="s">
        <v>125</v>
      </c>
      <c r="H22" s="782"/>
      <c r="N22" s="30"/>
    </row>
    <row r="23" spans="1:38">
      <c r="G23" s="25" t="s">
        <v>122</v>
      </c>
      <c r="H23" s="25">
        <v>2707</v>
      </c>
    </row>
    <row r="24" spans="1:38">
      <c r="G24" s="25" t="s">
        <v>123</v>
      </c>
      <c r="H24" s="3">
        <v>241161</v>
      </c>
    </row>
    <row r="25" spans="1:38" ht="15">
      <c r="A25" s="23"/>
      <c r="D25" s="23"/>
      <c r="G25" s="25" t="s">
        <v>99</v>
      </c>
      <c r="H25" s="42" t="e">
        <f>H24/#REF!*#REF!</f>
        <v>#REF!</v>
      </c>
      <c r="R25" s="23"/>
      <c r="S25" s="23"/>
      <c r="T25" s="23"/>
      <c r="U25" s="23"/>
      <c r="V25" s="23"/>
      <c r="W25" s="23"/>
    </row>
    <row r="29" spans="1:38">
      <c r="K29" s="23" t="s">
        <v>175</v>
      </c>
    </row>
  </sheetData>
  <mergeCells count="28">
    <mergeCell ref="G22:H22"/>
    <mergeCell ref="G5:H5"/>
    <mergeCell ref="A6:A7"/>
    <mergeCell ref="Q6:Q12"/>
    <mergeCell ref="A8:A9"/>
    <mergeCell ref="A10:A11"/>
    <mergeCell ref="C10:C11"/>
    <mergeCell ref="AG3:AI3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X3"/>
    <mergeCell ref="K1:AE1"/>
    <mergeCell ref="K2:Q2"/>
    <mergeCell ref="Y2:AE3"/>
    <mergeCell ref="A3:A4"/>
    <mergeCell ref="B3:B4"/>
    <mergeCell ref="C3:C4"/>
    <mergeCell ref="D3:D4"/>
    <mergeCell ref="E3:E4"/>
    <mergeCell ref="F3:F4"/>
    <mergeCell ref="G3:H3"/>
  </mergeCells>
  <dataValidations disablePrompts="1" count="2">
    <dataValidation type="list" allowBlank="1" showInputMessage="1" showErrorMessage="1" sqref="J6:J12">
      <formula1>#REF!</formula1>
    </dataValidation>
    <dataValidation type="list" allowBlank="1" showInputMessage="1" showErrorMessage="1" sqref="L6:L12 K6:K11 B6:B12">
      <formula1>#REF!</formula1>
    </dataValidation>
  </dataValidations>
  <pageMargins left="0.7" right="0.7" top="0.75" bottom="0.75" header="0.3" footer="0.3"/>
  <pageSetup paperSize="9" scale="75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K67"/>
  <sheetViews>
    <sheetView view="pageBreakPreview" zoomScale="145" zoomScaleNormal="100" zoomScaleSheetLayoutView="145" workbookViewId="0">
      <selection activeCell="G71" sqref="G71"/>
    </sheetView>
  </sheetViews>
  <sheetFormatPr defaultRowHeight="14.25"/>
  <cols>
    <col min="1" max="1" width="3.75" customWidth="1"/>
    <col min="2" max="3" width="9" customWidth="1"/>
    <col min="4" max="4" width="15.25" customWidth="1"/>
    <col min="5" max="5" width="7.75" customWidth="1"/>
    <col min="6" max="14" width="9" customWidth="1"/>
    <col min="15" max="15" width="7.25" customWidth="1"/>
    <col min="16" max="16" width="9.125" bestFit="1" customWidth="1"/>
    <col min="17" max="20" width="9" customWidth="1"/>
    <col min="21" max="21" width="9.125" bestFit="1" customWidth="1"/>
    <col min="22" max="46" width="9" customWidth="1"/>
    <col min="47" max="47" width="9.125" customWidth="1"/>
    <col min="48" max="49" width="5" bestFit="1" customWidth="1"/>
    <col min="50" max="50" width="3.875" customWidth="1"/>
    <col min="51" max="51" width="4.125" customWidth="1"/>
    <col min="52" max="52" width="4.5" customWidth="1"/>
    <col min="53" max="53" width="5.125" customWidth="1"/>
    <col min="54" max="54" width="5.5" customWidth="1"/>
    <col min="55" max="91" width="9" customWidth="1"/>
  </cols>
  <sheetData>
    <row r="1" spans="1:89" ht="15" thickBot="1">
      <c r="A1" s="380" t="s">
        <v>260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1"/>
      <c r="AP1" s="381"/>
      <c r="AQ1" s="381"/>
      <c r="AR1" s="381"/>
      <c r="AS1" s="381"/>
      <c r="AT1" s="381"/>
      <c r="AU1" s="381"/>
      <c r="AV1" s="381"/>
      <c r="AW1" s="381"/>
      <c r="AX1" s="381"/>
      <c r="AY1" s="380"/>
      <c r="AZ1" s="380"/>
      <c r="BA1" s="380"/>
      <c r="BB1" s="380"/>
      <c r="BC1" s="380"/>
      <c r="BD1" s="380"/>
    </row>
    <row r="2" spans="1:89" s="238" customFormat="1" ht="8.25" customHeight="1">
      <c r="A2" s="371" t="s">
        <v>4</v>
      </c>
      <c r="B2" s="373" t="s">
        <v>144</v>
      </c>
      <c r="C2" s="374"/>
      <c r="D2" s="377" t="s">
        <v>145</v>
      </c>
      <c r="E2" s="365" t="s">
        <v>147</v>
      </c>
      <c r="F2" s="329" t="s">
        <v>24</v>
      </c>
      <c r="G2" s="329" t="s">
        <v>148</v>
      </c>
      <c r="H2" s="329" t="s">
        <v>149</v>
      </c>
      <c r="I2" s="329" t="s">
        <v>150</v>
      </c>
      <c r="J2" s="329" t="s">
        <v>240</v>
      </c>
      <c r="K2" s="367" t="s">
        <v>152</v>
      </c>
      <c r="L2" s="368"/>
      <c r="M2" s="329" t="s">
        <v>34</v>
      </c>
      <c r="N2" s="329" t="s">
        <v>77</v>
      </c>
      <c r="O2" s="329" t="s">
        <v>25</v>
      </c>
      <c r="P2" s="329" t="s">
        <v>30</v>
      </c>
      <c r="Q2" s="329" t="s">
        <v>83</v>
      </c>
      <c r="R2" s="329" t="s">
        <v>306</v>
      </c>
      <c r="S2" s="329" t="s">
        <v>84</v>
      </c>
      <c r="T2" s="329" t="s">
        <v>78</v>
      </c>
      <c r="U2" s="329" t="s">
        <v>118</v>
      </c>
      <c r="V2" s="329" t="s">
        <v>47</v>
      </c>
      <c r="W2" s="329" t="s">
        <v>96</v>
      </c>
      <c r="X2" s="329" t="s">
        <v>47</v>
      </c>
      <c r="Y2" s="361" t="s">
        <v>80</v>
      </c>
      <c r="Z2" s="328"/>
      <c r="AA2" s="328"/>
      <c r="AB2" s="328"/>
      <c r="AC2" s="328"/>
      <c r="AD2" s="328"/>
      <c r="AE2" s="362"/>
      <c r="AF2" s="328">
        <v>200</v>
      </c>
      <c r="AG2" s="328" t="s">
        <v>304</v>
      </c>
      <c r="AH2" s="328"/>
      <c r="AI2" s="328"/>
      <c r="AJ2" s="328"/>
      <c r="AK2" s="328"/>
      <c r="AL2" s="362"/>
      <c r="AM2" s="361" t="s">
        <v>81</v>
      </c>
      <c r="AN2" s="328"/>
      <c r="AO2" s="328"/>
      <c r="AP2" s="328"/>
      <c r="AQ2" s="328"/>
      <c r="AR2" s="328"/>
      <c r="AS2" s="362"/>
      <c r="AT2" s="329" t="s">
        <v>153</v>
      </c>
      <c r="AU2" s="329" t="s">
        <v>154</v>
      </c>
      <c r="AV2" s="792" t="s">
        <v>82</v>
      </c>
      <c r="AW2" s="793"/>
      <c r="AX2" s="793"/>
      <c r="AY2" s="793"/>
      <c r="AZ2" s="793"/>
      <c r="BA2" s="793"/>
      <c r="BB2" s="794"/>
      <c r="BC2" s="368" t="s">
        <v>85</v>
      </c>
      <c r="BD2" s="329" t="s">
        <v>89</v>
      </c>
      <c r="BE2" s="329" t="s">
        <v>253</v>
      </c>
      <c r="BF2" s="329" t="s">
        <v>156</v>
      </c>
      <c r="BG2" s="329" t="s">
        <v>89</v>
      </c>
      <c r="BH2" s="329" t="s">
        <v>157</v>
      </c>
      <c r="BI2" s="329" t="s">
        <v>308</v>
      </c>
      <c r="BJ2" s="329" t="s">
        <v>309</v>
      </c>
      <c r="BK2" s="363" t="s">
        <v>310</v>
      </c>
      <c r="BN2" s="112" t="s">
        <v>114</v>
      </c>
      <c r="BO2" s="113" t="s">
        <v>115</v>
      </c>
      <c r="BP2" s="239" t="s">
        <v>38</v>
      </c>
      <c r="BQ2" s="113" t="s">
        <v>115</v>
      </c>
      <c r="BR2" s="239" t="s">
        <v>40</v>
      </c>
      <c r="BS2" s="113" t="s">
        <v>115</v>
      </c>
      <c r="BT2" s="239" t="s">
        <v>42</v>
      </c>
      <c r="BU2" s="113" t="s">
        <v>115</v>
      </c>
      <c r="BV2" s="239" t="s">
        <v>44</v>
      </c>
      <c r="BW2" s="169"/>
      <c r="BX2" s="76" t="s">
        <v>8</v>
      </c>
      <c r="BY2" s="77" t="s">
        <v>116</v>
      </c>
      <c r="BZ2" s="77" t="s">
        <v>79</v>
      </c>
      <c r="CA2" s="77" t="s">
        <v>27</v>
      </c>
      <c r="CB2" s="77" t="s">
        <v>117</v>
      </c>
      <c r="CC2" s="111" t="s">
        <v>29</v>
      </c>
      <c r="CD2" s="112" t="s">
        <v>8</v>
      </c>
      <c r="CE2" s="113" t="s">
        <v>116</v>
      </c>
      <c r="CF2" s="113" t="s">
        <v>79</v>
      </c>
      <c r="CG2" s="113" t="s">
        <v>27</v>
      </c>
      <c r="CH2" s="113" t="s">
        <v>117</v>
      </c>
      <c r="CI2" s="114" t="s">
        <v>29</v>
      </c>
    </row>
    <row r="3" spans="1:89" s="238" customFormat="1" ht="8.25">
      <c r="A3" s="372"/>
      <c r="B3" s="375"/>
      <c r="C3" s="376"/>
      <c r="D3" s="378"/>
      <c r="E3" s="366"/>
      <c r="F3" s="330"/>
      <c r="G3" s="330"/>
      <c r="H3" s="330"/>
      <c r="I3" s="330"/>
      <c r="J3" s="330"/>
      <c r="K3" s="369"/>
      <c r="L3" s="37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181" t="s">
        <v>66</v>
      </c>
      <c r="Z3" s="181" t="s">
        <v>67</v>
      </c>
      <c r="AA3" s="181" t="s">
        <v>68</v>
      </c>
      <c r="AB3" s="181" t="s">
        <v>69</v>
      </c>
      <c r="AC3" s="181" t="s">
        <v>70</v>
      </c>
      <c r="AD3" s="181" t="s">
        <v>71</v>
      </c>
      <c r="AE3" s="181" t="s">
        <v>72</v>
      </c>
      <c r="AF3" s="181" t="s">
        <v>66</v>
      </c>
      <c r="AG3" s="181" t="s">
        <v>67</v>
      </c>
      <c r="AH3" s="181" t="s">
        <v>68</v>
      </c>
      <c r="AI3" s="181" t="s">
        <v>69</v>
      </c>
      <c r="AJ3" s="181" t="s">
        <v>70</v>
      </c>
      <c r="AK3" s="181" t="s">
        <v>71</v>
      </c>
      <c r="AL3" s="181" t="s">
        <v>72</v>
      </c>
      <c r="AM3" s="181" t="s">
        <v>66</v>
      </c>
      <c r="AN3" s="181" t="s">
        <v>67</v>
      </c>
      <c r="AO3" s="181" t="s">
        <v>68</v>
      </c>
      <c r="AP3" s="181" t="s">
        <v>69</v>
      </c>
      <c r="AQ3" s="181" t="s">
        <v>70</v>
      </c>
      <c r="AR3" s="181" t="s">
        <v>71</v>
      </c>
      <c r="AS3" s="181" t="s">
        <v>72</v>
      </c>
      <c r="AT3" s="330"/>
      <c r="AU3" s="330"/>
      <c r="AV3" s="181" t="s">
        <v>66</v>
      </c>
      <c r="AW3" s="181" t="s">
        <v>67</v>
      </c>
      <c r="AX3" s="181" t="s">
        <v>100</v>
      </c>
      <c r="AY3" s="181" t="s">
        <v>69</v>
      </c>
      <c r="AZ3" s="181" t="s">
        <v>70</v>
      </c>
      <c r="BA3" s="181" t="s">
        <v>71</v>
      </c>
      <c r="BB3" s="350" t="s">
        <v>72</v>
      </c>
      <c r="BC3" s="370"/>
      <c r="BD3" s="330"/>
      <c r="BE3" s="330"/>
      <c r="BF3" s="330"/>
      <c r="BG3" s="330"/>
      <c r="BH3" s="330"/>
      <c r="BI3" s="330"/>
      <c r="BJ3" s="330"/>
      <c r="BK3" s="364"/>
      <c r="BL3" s="170"/>
      <c r="BN3" s="240"/>
      <c r="BO3" s="237"/>
      <c r="BP3" s="237"/>
      <c r="BQ3" s="237"/>
      <c r="BR3" s="237"/>
      <c r="BS3" s="237"/>
      <c r="BT3" s="237"/>
      <c r="BU3" s="237"/>
      <c r="BV3" s="237"/>
      <c r="BW3" s="241"/>
      <c r="BX3" s="237"/>
      <c r="BY3" s="237"/>
      <c r="BZ3" s="237"/>
      <c r="CA3" s="237"/>
      <c r="CB3" s="237"/>
      <c r="CC3" s="237"/>
      <c r="CD3" s="240"/>
      <c r="CE3" s="237"/>
      <c r="CF3" s="237"/>
      <c r="CG3" s="237"/>
      <c r="CH3" s="237"/>
      <c r="CI3" s="241"/>
    </row>
    <row r="4" spans="1:89" s="238" customFormat="1" ht="9" thickBot="1">
      <c r="A4" s="325">
        <v>1</v>
      </c>
      <c r="B4" s="326"/>
      <c r="C4" s="326"/>
      <c r="D4" s="327">
        <v>2</v>
      </c>
      <c r="E4" s="357">
        <v>3</v>
      </c>
      <c r="F4" s="348">
        <v>4</v>
      </c>
      <c r="G4" s="348">
        <v>5</v>
      </c>
      <c r="H4" s="348">
        <v>6</v>
      </c>
      <c r="I4" s="348">
        <v>7</v>
      </c>
      <c r="J4" s="348">
        <v>8</v>
      </c>
      <c r="K4" s="382">
        <v>6</v>
      </c>
      <c r="L4" s="353"/>
      <c r="M4" s="348">
        <v>5</v>
      </c>
      <c r="N4" s="348">
        <v>10</v>
      </c>
      <c r="O4" s="244">
        <v>4</v>
      </c>
      <c r="P4" s="348">
        <v>5</v>
      </c>
      <c r="Q4" s="348">
        <v>6</v>
      </c>
      <c r="R4" s="348">
        <v>100</v>
      </c>
      <c r="S4" s="244">
        <v>7</v>
      </c>
      <c r="T4" s="348">
        <v>15</v>
      </c>
      <c r="U4" s="348">
        <v>7</v>
      </c>
      <c r="V4" s="348">
        <v>8</v>
      </c>
      <c r="W4" s="348">
        <v>9</v>
      </c>
      <c r="X4" s="348">
        <v>10</v>
      </c>
      <c r="Y4" s="348">
        <v>15</v>
      </c>
      <c r="Z4" s="348">
        <v>16</v>
      </c>
      <c r="AA4" s="348">
        <v>17</v>
      </c>
      <c r="AB4" s="348">
        <v>18</v>
      </c>
      <c r="AC4" s="348">
        <v>19</v>
      </c>
      <c r="AD4" s="348">
        <v>20</v>
      </c>
      <c r="AE4" s="348">
        <v>21</v>
      </c>
      <c r="AF4" s="348"/>
      <c r="AG4" s="348"/>
      <c r="AH4" s="348"/>
      <c r="AI4" s="348"/>
      <c r="AJ4" s="348"/>
      <c r="AK4" s="348"/>
      <c r="AL4" s="348"/>
      <c r="AM4" s="348">
        <v>29</v>
      </c>
      <c r="AN4" s="348">
        <v>30</v>
      </c>
      <c r="AO4" s="348">
        <v>31</v>
      </c>
      <c r="AP4" s="348">
        <v>32</v>
      </c>
      <c r="AQ4" s="348">
        <v>33</v>
      </c>
      <c r="AR4" s="348">
        <v>34</v>
      </c>
      <c r="AS4" s="348">
        <v>35</v>
      </c>
      <c r="AT4" s="348">
        <v>9</v>
      </c>
      <c r="AU4" s="348">
        <v>8</v>
      </c>
      <c r="AV4" s="348">
        <v>9</v>
      </c>
      <c r="AW4" s="348">
        <v>10</v>
      </c>
      <c r="AX4" s="348">
        <v>11</v>
      </c>
      <c r="AY4" s="348">
        <f t="shared" ref="AY4:BK4" si="0">AX4+1</f>
        <v>12</v>
      </c>
      <c r="AZ4" s="348">
        <f t="shared" si="0"/>
        <v>13</v>
      </c>
      <c r="BA4" s="348">
        <f t="shared" si="0"/>
        <v>14</v>
      </c>
      <c r="BB4" s="352">
        <f t="shared" si="0"/>
        <v>15</v>
      </c>
      <c r="BC4" s="353">
        <f t="shared" si="0"/>
        <v>16</v>
      </c>
      <c r="BD4" s="348">
        <f t="shared" si="0"/>
        <v>17</v>
      </c>
      <c r="BE4" s="348">
        <f t="shared" si="0"/>
        <v>18</v>
      </c>
      <c r="BF4" s="244">
        <f t="shared" si="0"/>
        <v>19</v>
      </c>
      <c r="BG4" s="348">
        <f t="shared" si="0"/>
        <v>20</v>
      </c>
      <c r="BH4" s="348">
        <f t="shared" si="0"/>
        <v>21</v>
      </c>
      <c r="BI4" s="348">
        <f t="shared" si="0"/>
        <v>22</v>
      </c>
      <c r="BJ4" s="348">
        <f t="shared" si="0"/>
        <v>23</v>
      </c>
      <c r="BK4" s="348">
        <f t="shared" si="0"/>
        <v>24</v>
      </c>
      <c r="BN4" s="245"/>
      <c r="BO4" s="87"/>
      <c r="BP4" s="87"/>
      <c r="BQ4" s="87"/>
      <c r="BR4" s="87"/>
      <c r="BS4" s="87"/>
      <c r="BT4" s="87"/>
      <c r="BU4" s="87"/>
      <c r="BV4" s="87"/>
      <c r="BW4" s="246"/>
      <c r="BX4" s="87"/>
      <c r="BY4" s="87"/>
      <c r="BZ4" s="87"/>
      <c r="CA4" s="87"/>
      <c r="CB4" s="87"/>
      <c r="CC4" s="87"/>
      <c r="CD4" s="245"/>
      <c r="CE4" s="87"/>
      <c r="CF4" s="87"/>
      <c r="CG4" s="87"/>
      <c r="CH4" s="87"/>
      <c r="CI4" s="246"/>
    </row>
    <row r="5" spans="1:89" s="236" customFormat="1" ht="8.25">
      <c r="A5" s="360" t="s">
        <v>307</v>
      </c>
      <c r="B5" s="234"/>
      <c r="C5" s="347" t="b">
        <f t="shared" ref="C5:C11" si="1">IF(ISTEXT(D5),1)</f>
        <v>0</v>
      </c>
      <c r="D5" s="399"/>
      <c r="E5" s="234"/>
      <c r="F5" s="233"/>
      <c r="G5" s="233"/>
      <c r="H5" s="231"/>
      <c r="I5" s="231"/>
      <c r="J5" s="231"/>
      <c r="K5" s="231"/>
      <c r="L5" s="231"/>
      <c r="M5" s="231"/>
      <c r="N5" s="231"/>
      <c r="O5" s="400"/>
      <c r="P5" s="231"/>
      <c r="Q5" s="232"/>
      <c r="R5" s="232"/>
      <c r="S5" s="232"/>
      <c r="T5" s="231"/>
      <c r="U5" s="354">
        <f>X5</f>
        <v>0</v>
      </c>
      <c r="V5" s="355">
        <f>IF(N5="kompletna",M5*G5*0.0036*'[2]Założenia,wskaźniki, listy'!$H$13,IF(N5="częściowa",M5*G5*0.0036*'[2]Założenia,wskaźniki, listy'!$H$14,IF(N5="brak",M5*G5*0.0036*'[2]Założenia,wskaźniki, listy'!$H$15,0)))</f>
        <v>0</v>
      </c>
      <c r="W5" s="182">
        <f>K5*'[3]Założenia,wskaźniki, listy'!$L$16</f>
        <v>0</v>
      </c>
      <c r="X5" s="182">
        <f>IF(O5="węgiel",P5*'[3]Założenia,wskaźniki, listy'!$B$4,IF(O5="gaz",P5*'[3]Założenia,wskaźniki, listy'!$B$5,IF(O5="drewno",P5*'[3]Założenia,wskaźniki, listy'!$B$6,IF(O5="pelet",P5*'[3]Założenia,wskaźniki, listy'!$B$7,IF(O5="olej opałowy",P5*'[3]Założenia,wskaźniki, listy'!$B$8,IF(O5="sieć ciepłownicza",0,0))))))</f>
        <v>0</v>
      </c>
      <c r="Y5" s="182">
        <f>IF(O5="węgiel",W5*'[3]Założenia,wskaźniki, listy'!$C$44,IF(O5="gaz",W5*'[3]Założenia,wskaźniki, listy'!$D$44,IF(O5="drewno",W5*'[3]Założenia,wskaźniki, listy'!$E$44,IF(O5="pelet",W5*'[3]Założenia,wskaźniki, listy'!$F$44,IF(O5="olej opałowy",W5*'[3]Założenia,wskaźniki, listy'!$G$44,IF(O5="sieć ciepłownicza",0,IF(O5="prąd",0,0)))))))</f>
        <v>0</v>
      </c>
      <c r="Z5" s="182">
        <f>IF(P5="węgiel",X5*'[4]Założenia,wskaźniki, listy'!$C$45,IF(P5="gaz",X5*'[4]Założenia,wskaźniki, listy'!$D$45,IF(P5="drewno",X5*'[4]Założenia,wskaźniki, listy'!$E$45,IF(P5="pelet",X5*'[4]Założenia,wskaźniki, listy'!$F$45,IF(P5="olej opałowy",X5*'[4]Założenia,wskaźniki, listy'!$G$45,IF(P5="sieć ciepłownicza",0,IF(P5="prąd",0,0)))))))</f>
        <v>0</v>
      </c>
      <c r="AA5" s="182">
        <f>IF(P5="węgiel",X5*'[4]Założenia,wskaźniki, listy'!$C$46,IF(P5="gaz",X5*'[4]Założenia,wskaźniki, listy'!$D$46,IF(P5="drewno",X5*'[4]Założenia,wskaźniki, listy'!$E$46,IF(P5="pelet",X5*'[4]Założenia,wskaźniki, listy'!$F$46,IF(P5="olej opałowy",X5*'[4]Założenia,wskaźniki, listy'!$G$46,IF(P5="sieć ciepłownicza",0,IF(P5="prąd",0,0)))))))</f>
        <v>0</v>
      </c>
      <c r="AB5" s="182">
        <f>IF(P5="węgiel",X5*'[4]Założenia,wskaźniki, listy'!$C$47,IF(P5="gaz",X5*'[4]Założenia,wskaźniki, listy'!$D$47,IF(P5="drewno",X5*'[4]Założenia,wskaźniki, listy'!$E$47,IF(P5="pelet",X5*'[4]Założenia,wskaźniki, listy'!$F$47,IF(P5="olej opałowy",X5*'[4]Założenia,wskaźniki, listy'!$G$47,IF(P5="sieć ciepłownicza",0,IF(P5="prąd",0,0)))))))</f>
        <v>0</v>
      </c>
      <c r="AC5" s="182">
        <f>IF(P5="węgiel",X5*'[4]Założenia,wskaźniki, listy'!$C$48,IF(P5="gaz",X5*'[4]Założenia,wskaźniki, listy'!$D$48,IF(P5="drewno",X5*'[4]Założenia,wskaźniki, listy'!$E$48,IF(P5="pelet",X5*'[4]Założenia,wskaźniki, listy'!$F$48,IF(P5="olej opałowy",X5*'[4]Założenia,wskaźniki, listy'!$G$48,IF(P5="sieć ciepłownicza",0,IF(P5="prąd",0,0)))))))</f>
        <v>0</v>
      </c>
      <c r="AD5" s="182">
        <f>IF(P5="węgiel",X5*'[4]Założenia,wskaźniki, listy'!$C$49,IF(P5="gaz",X5*'[4]Założenia,wskaźniki, listy'!$D$49,IF(P5="drewno",X5*'[4]Założenia,wskaźniki, listy'!$E$49,IF(P5="pelet",X5*'[4]Założenia,wskaźniki, listy'!$F$49,IF(P5="olej opałowy",X5*'[4]Założenia,wskaźniki, listy'!$G$49,IF(P5="sieć ciepłownicza",0,IF(P5="prąd",0,0)))))))</f>
        <v>0</v>
      </c>
      <c r="AE5" s="182">
        <f>IF(P5="węgiel",X5*'[4]Założenia,wskaźniki, listy'!$C$50,IF(P5="gaz",X5*'[4]Założenia,wskaźniki, listy'!$D$50,IF(P5="drewno",X5*'[4]Założenia,wskaźniki, listy'!$E$50,IF(P5="pelet",X5*'[4]Założenia,wskaźniki, listy'!$F$50,IF(P5="olej opałowy",X5*'[4]Założenia,wskaźniki, listy'!$G$50,IF(P5="sieć ciepłownicza",0,IF(P5="prąd",0,0)))))))</f>
        <v>0</v>
      </c>
      <c r="AF5" s="182">
        <f>IF(O5="węgiel",X5*[2]Z!$C$44,IF(O5="gaz",X5*[2]Z!$D$44,IF(O5="drewno",X5*[2]Z!$E$44,IF(O5="pelet",X5*[2]Z!$F$44,IF(O5="olej opałowy",X5*[2]Z!$G$44,IF(O5="sieć ciepłownicza",0,IF(O5="prąd",0,0)))))))</f>
        <v>0</v>
      </c>
      <c r="AG5" s="182">
        <f>IF(O5="węgiel",X5*[2]Z!$C$45,IF(O5="gaz",X5*[2]Z!$D$45,IF(O5="drewno",X5*[2]Z!$E$45,IF(O5="pelet",X5*[2]Z!$F$45,IF(O5="olej opałowy",X5*[2]Z!$G$45,IF(O5="sieć ciepłownicza",0,IF(O5="prąd",0,0)))))))</f>
        <v>0</v>
      </c>
      <c r="AH5" s="182">
        <f>IF(O5="węgiel",X5*[2]Z!$C$46,IF(O5="gaz",X5*[2]Z!$D$46,IF(O5="drewno",X5*[2]Z!$E$46,IF(O5="pelet",X5*[2]Z!$F$46,IF(O5="olej opałowy",X5*[2]Z!$G$46,IF(O5="sieć ciepłownicza",0,IF(O5="prąd",0,0)))))))</f>
        <v>0</v>
      </c>
      <c r="AI5" s="182">
        <f>IF(O5="węgiel",X5*[2]Z!$C$47,IF(O5="gaz",X5*[2]Z!$D$47,IF(O5="drewno",X5*[2]Z!$E$47,IF(O5="pelet",X5*[2]Z!$F$47,IF(O5="olej opałowy",X5*[2]Z!$G$47,IF(O5="sieć ciepłownicza",0,IF(O5="prąd",0,0)))))))</f>
        <v>0</v>
      </c>
      <c r="AJ5" s="182">
        <f>IF(O5="węgiel",X5*[2]Z!$C$48,IF(O5="gaz",X5*[2]Z!$D$48,IF(O5="drewno",X5*[2]Z!$E$48,IF(O5="pelet",X5*[2]Z!$F$48,IF(O5="olej opałowy",X5*[2]Z!$G$48,IF(O5="sieć ciepłownicza",0,IF(O5="prąd",0,0)))))))</f>
        <v>0</v>
      </c>
      <c r="AK5" s="182">
        <f>IF(O5="węgiel",X5*[2]Z!$C$49,IF(O5="gaz",X5*[2]Z!$D$49,IF(O5="drewno",X5*[2]Z!$E$49,IF(O5="pelet",X5*[2]Z!$F$49,IF(O5="olej opałowy",X5*[2]Z!$G$49,IF(O5="sieć ciepłownicza",0,IF(O5="prąd",0,0)))))))</f>
        <v>0</v>
      </c>
      <c r="AL5" s="182">
        <f>IF(O5="węgiel",X5*[2]Z!$C$50,IF(O5="gaz",X5*[2]Z!$D$50,IF(O5="drewno",X5*[2]Z!$E$50,IF(O5="pelet",X5*[2]Z!$F$50,IF(O5="olej opałowy",X5*[2]Z!$G$50,IF(O5="sieć ciepłownicza",0,IF(O5="prąd",0,0)))))))</f>
        <v>0</v>
      </c>
      <c r="AM5" s="182">
        <f>IF(T5="węgiel",W5*'[2]Założenia,wskaźniki, listy'!$C$44,IF(T5="gaz",W5*'[2]Założenia,wskaźniki, listy'!$D$44,IF(T5="drewno",W5*'[2]Założenia,wskaźniki, listy'!$E$44,IF(T5="pelet",W5*'[2]Założenia,wskaźniki, listy'!$F$44,IF(T5="olej opałowy",W5*'[2]Założenia,wskaźniki, listy'!$G$44,IF(T5="sieć ciepłownicza",0,IF(T5="prąd",0,0)))))))</f>
        <v>0</v>
      </c>
      <c r="AN5" s="182">
        <f>IF(U5="węgiel",X5*'[2]Założenia,wskaźniki, listy'!$C$45,IF(U5="gaz",X5*'[2]Założenia,wskaźniki, listy'!$D$45,IF(U5="drewno",X5*'[2]Założenia,wskaźniki, listy'!$E$45,IF(U5="pelet",X5*'[2]Założenia,wskaźniki, listy'!$F$45,IF(U5="olej opałowy",X5*'[2]Założenia,wskaźniki, listy'!$G$45,IF(U5="sieć ciepłownicza",0,IF(U5="prąd",0,0)))))))</f>
        <v>0</v>
      </c>
      <c r="AO5" s="182">
        <f>IF(U5="węgiel",X5*'[2]Założenia,wskaźniki, listy'!$C$46,IF(U5="gaz",X5*'[2]Założenia,wskaźniki, listy'!$D$46,IF(U5="drewno",X5*'[2]Założenia,wskaźniki, listy'!$E$46,IF(U5="pelet",X5*'[2]Założenia,wskaźniki, listy'!$F$46,IF(U5="olej opałowy",X5*'[2]Założenia,wskaźniki, listy'!$G$46,IF(U5="sieć ciepłownicza",0,IF(U5="prąd",0,0)))))))</f>
        <v>0</v>
      </c>
      <c r="AP5" s="182">
        <f>IF(U5="węgiel",X5*'[2]Założenia,wskaźniki, listy'!$C$47,IF(U5="gaz",X5*'[2]Założenia,wskaźniki, listy'!$D$47,IF(U5="drewno",X5*'[2]Założenia,wskaźniki, listy'!$E$47,IF(U5="pelet",X5*'[2]Założenia,wskaźniki, listy'!$F$47,IF(U5="olej opałowy",X5*'[2]Założenia,wskaźniki, listy'!$G$47,IF(U5="sieć ciepłownicza",0,IF(U5="prąd",0,0)))))))</f>
        <v>0</v>
      </c>
      <c r="AQ5" s="182">
        <f>IF(U5="węgiel",X5*'[2]Założenia,wskaźniki, listy'!$C$48,IF(U5="gaz",X5*'[2]Założenia,wskaźniki, listy'!$D$48,IF(U5="drewno",X5*'[2]Założenia,wskaźniki, listy'!$E$48,IF(U5="pelet",X5*'[2]Założenia,wskaźniki, listy'!$F$48,IF(U5="olej opałowy",X5*'[2]Założenia,wskaźniki, listy'!$G$48,IF(U5="sieć ciepłownicza",0,IF(U5="prąd",0,0)))))))</f>
        <v>0</v>
      </c>
      <c r="AR5" s="182">
        <f>IF(U5="węgiel",X5*'[2]Założenia,wskaźniki, listy'!$C$49,IF(U5="gaz",X5*'[2]Założenia,wskaźniki, listy'!$D$49,IF(U5="drewno",X5*'[2]Założenia,wskaźniki, listy'!$E$49,IF(U5="pelet",X5*'[2]Założenia,wskaźniki, listy'!$F$49,IF(U5="olej opałowy",X5*'[2]Założenia,wskaźniki, listy'!$G$49,IF(U5="sieć ciepłownicza",0,IF(U5="prąd",0,0)))))))</f>
        <v>0</v>
      </c>
      <c r="AS5" s="182">
        <f>IF(U5="węgiel",X5*'[2]Założenia,wskaźniki, listy'!$C$50,IF(U5="gaz",X5*'[2]Założenia,wskaźniki, listy'!$D$50,IF(U5="drewno",X5*'[2]Założenia,wskaźniki, listy'!$E$50,IF(U5="pelet",X5*'[2]Założenia,wskaźniki, listy'!$F$50,IF(U5="olej opałowy",X5*'[2]Założenia,wskaźniki, listy'!$G$50,IF(U5="sieć ciepłownicza",0,IF(U5="prąd",0,0)))))))</f>
        <v>0</v>
      </c>
      <c r="AT5" s="182">
        <f>U5</f>
        <v>0</v>
      </c>
      <c r="AU5" s="182"/>
      <c r="AV5" s="182">
        <f>IF(O5="węgiel",U5*$AX$61,IF(O5="gaz",U5*$AY$61,IF(O5="drewno",U5*$AZ$61,IF(O5="pelet",U5*$BA$61,IF(O5="olej opałowy",U5*$BB$61,IF(O5="sieć ciepłownicza",0,IF(O5="prąd",0,0)))))))</f>
        <v>0</v>
      </c>
      <c r="AW5" s="182">
        <f t="shared" ref="AW5:AW11" si="2">IF(O5="węgiel",U5*$AX$62,IF(O5="gaz",U5*$AY$62,IF(O5="drewno",U5*$AZ$62,IF(O5="pelet",U5*$BA$62,IF(O5="olej opałowy",U5*$BB$62,IF(O5="sieć ciepłownicza",0,IF(O5="prąd",0,0)))))))</f>
        <v>0</v>
      </c>
      <c r="AX5" s="182">
        <f>IF(O5="węgiel",U5*$AX$63,IF(O5="gaz",U5*$AY$63,IF(O5="drewno",U5*$AZ$63,IF(O5="pelet",U5*$BA$63,IF(O5="olej opałowy",U5*$BB$63,IF(O5="sieć ciepłownicza",0,IF(O5="prąd",0,0)))))))+1.191*AU5</f>
        <v>0</v>
      </c>
      <c r="AY5" s="182">
        <f t="shared" ref="AY5:AY11" si="3">IF(O5="węgiel",U5*$AX$64,IF(O5="gaz",U5*$AY$64,IF(O5="drewno",U5*$AZ$64,IF(O5="pelet",U5*$BA$64,IF(O5="olej opałowy",U5*$BB$64,IF(O5="sieć ciepłownicza",0,IF(O5="prąd",0,0)))))))</f>
        <v>0</v>
      </c>
      <c r="AZ5" s="182">
        <f t="shared" ref="AZ5:AZ11" si="4">IF(O5="węgiel",U5*$AX$65,IF(O5="gaz",U5*$AY$65,IF(O5="drewno",U5*$AZ$65,IF(O5="pelet",U5*$BA$65,IF(O5="olej opałowy",U5*$BB$65,IF(O5="sieć ciepłownicza",0,IF(O5="prąd",0,0)))))))</f>
        <v>0</v>
      </c>
      <c r="BA5" s="182">
        <f t="shared" ref="BA5:BA11" si="5">IF(O5="węgiel",U5*$AX$66,IF(O5="gaz",U5*$AY$66,IF(O5="drewno",U5*$AZ$66,IF(O5="pelet",U5*$BA$66,IF(O5="olej opałowy",U5*$BB$66,IF(O5="sieć ciepłownicza",0,IF(O5="prąd",0,0)))))))</f>
        <v>0</v>
      </c>
      <c r="BB5" s="182">
        <f t="shared" ref="BB5:BB11" si="6">IF(O5="węgiel",U5*$AX$67,IF(O5="gaz",U5*$AY$67,IF(O5="drewno",U5*$AZ$67,IF(O5="pelet",U5*$BA$67,IF(O5="olej opałowy",U5*$BB$67,IF(O5="sieć ciepłownicza",0,IF(O5="prąd",0,0)))))))</f>
        <v>0</v>
      </c>
      <c r="BC5" s="71"/>
      <c r="BD5" s="183"/>
      <c r="BE5" s="349"/>
      <c r="BF5" s="183"/>
      <c r="BG5" s="183"/>
      <c r="BH5" s="183"/>
      <c r="BI5" s="183"/>
      <c r="BJ5" s="183"/>
      <c r="BK5" s="249"/>
      <c r="BN5" s="245">
        <f t="shared" ref="BN5:BN11" si="7">IF(F5&lt;=1966,G5)</f>
        <v>0</v>
      </c>
      <c r="BO5" s="87" t="b">
        <f t="shared" ref="BO5:BO11" si="8">IF(N5="kompletna",BN5,IF(N5="częściowa",0.5*BN5))</f>
        <v>0</v>
      </c>
      <c r="BP5" s="87" t="b">
        <f t="shared" ref="BP5:BP11" si="9">IF(F5&gt;1966,IF(F5&lt;=1985,G5))</f>
        <v>0</v>
      </c>
      <c r="BQ5" s="87" t="b">
        <f t="shared" ref="BQ5:BQ11" si="10">IF(N5="kompletna",BP5,IF(N5="częściowa",0.5*BP5))</f>
        <v>0</v>
      </c>
      <c r="BR5" s="87" t="b">
        <f t="shared" ref="BR5:BR11" si="11">IF(F5&gt;1985,IF(F5&lt;=1992,G5))</f>
        <v>0</v>
      </c>
      <c r="BS5" s="87" t="b">
        <f t="shared" ref="BS5:BS11" si="12">IF(N5="kompletna",BR5,IF(N5="częściowa",0.5*BR5))</f>
        <v>0</v>
      </c>
      <c r="BT5" s="87" t="b">
        <f t="shared" ref="BT5:BT11" si="13">IF(F5&gt;1992,IF(F5&lt;=1996,G5))</f>
        <v>0</v>
      </c>
      <c r="BU5" s="87" t="b">
        <f t="shared" ref="BU5:BU11" si="14">IF(N5="kompletna",BT5,IF(N5="częściowa",0.5*BT5))</f>
        <v>0</v>
      </c>
      <c r="BV5" s="87" t="b">
        <f t="shared" ref="BV5:BV11" si="15">IF(F5&gt;1996,IF(F5&lt;=2014,G5))</f>
        <v>0</v>
      </c>
      <c r="BW5" s="246" t="b">
        <f t="shared" ref="BW5:BW11" si="16">IF(N5="kompletna",BV5,IF(N5="częściowa",0.5*BV5))</f>
        <v>0</v>
      </c>
      <c r="BX5" s="87" t="b">
        <f t="shared" ref="BX5:BX11" si="17">IF(O5="węgiel",X5)</f>
        <v>0</v>
      </c>
      <c r="BY5" s="87" t="b">
        <f t="shared" ref="BY5:BY11" si="18">IF(O5="gaz",U5)</f>
        <v>0</v>
      </c>
      <c r="BZ5" s="87" t="b">
        <f t="shared" ref="BZ5:BZ11" si="19">IF(O5="drewno",X5)</f>
        <v>0</v>
      </c>
      <c r="CA5" s="87" t="b">
        <f t="shared" ref="CA5:CA11" si="20">IF(O5="pelet",X5)</f>
        <v>0</v>
      </c>
      <c r="CB5" s="87" t="b">
        <f t="shared" ref="CB5:CB11" si="21">IF(O5="olej opałowy",X5)</f>
        <v>0</v>
      </c>
      <c r="CC5" s="87" t="b">
        <f t="shared" ref="CC5:CC11" si="22">IF(O5="prąd",U5)</f>
        <v>0</v>
      </c>
      <c r="CD5" s="245" t="b">
        <f t="shared" ref="CD5:CD11" si="23">IF(T5="węgiel",W5)</f>
        <v>0</v>
      </c>
      <c r="CE5" s="87" t="b">
        <f t="shared" ref="CE5:CE11" si="24">IF(T5="gaz",W5)</f>
        <v>0</v>
      </c>
      <c r="CF5" s="87" t="b">
        <f t="shared" ref="CF5:CF11" si="25">IF(T5="drewno",W5)</f>
        <v>0</v>
      </c>
      <c r="CG5" s="87" t="b">
        <f t="shared" ref="CG5:CG11" si="26">IF(T5="pelet",W5)</f>
        <v>0</v>
      </c>
      <c r="CH5" s="87" t="b">
        <f t="shared" ref="CH5:CH11" si="27">IF(T5="olej opałowy",W5)</f>
        <v>0</v>
      </c>
      <c r="CI5" s="246" t="b">
        <f t="shared" ref="CI5:CI11" si="28">IF(T5="prąd",W5)</f>
        <v>0</v>
      </c>
    </row>
    <row r="6" spans="1:89" s="236" customFormat="1" ht="8.25">
      <c r="A6" s="360">
        <v>2</v>
      </c>
      <c r="B6" s="234">
        <f>SUM($C6:C$12)</f>
        <v>0</v>
      </c>
      <c r="C6" s="347" t="b">
        <f t="shared" si="1"/>
        <v>0</v>
      </c>
      <c r="D6" s="397"/>
      <c r="E6" s="234"/>
      <c r="F6" s="233"/>
      <c r="G6" s="233"/>
      <c r="H6" s="231"/>
      <c r="I6" s="231"/>
      <c r="J6" s="231"/>
      <c r="K6" s="231"/>
      <c r="L6" s="231"/>
      <c r="M6" s="231"/>
      <c r="N6" s="231"/>
      <c r="O6" s="401"/>
      <c r="P6" s="231"/>
      <c r="Q6" s="232"/>
      <c r="R6" s="232"/>
      <c r="S6" s="232"/>
      <c r="T6" s="231"/>
      <c r="U6" s="354">
        <f>X6</f>
        <v>0</v>
      </c>
      <c r="V6" s="355">
        <f>IF(N6="kompletna",M6*G6*0.0036*'[2]Założenia,wskaźniki, listy'!$H$13,IF(N6="częściowa",M6*G6*0.0036*'[2]Założenia,wskaźniki, listy'!$H$14,IF(N6="brak",M6*G6*0.0036*'[2]Założenia,wskaźniki, listy'!$H$15,0)))</f>
        <v>0</v>
      </c>
      <c r="W6" s="182">
        <f>K6*'[3]Założenia,wskaźniki, listy'!$L$16</f>
        <v>0</v>
      </c>
      <c r="X6" s="182">
        <f>IF(O6="węgiel",P6*'[3]Założenia,wskaźniki, listy'!$B$4,IF(O6="gaz",P6*'[3]Założenia,wskaźniki, listy'!$B$5,IF(O6="drewno",P6*'[3]Założenia,wskaźniki, listy'!$B$6,IF(O6="pelet",P6*'[3]Założenia,wskaźniki, listy'!$B$7,IF(O6="olej opałowy",P6*'[3]Założenia,wskaźniki, listy'!$B$8,IF(O6="sieć ciepłownicza",0,0))))))</f>
        <v>0</v>
      </c>
      <c r="Y6" s="182">
        <f>IF(O6="węgiel",X6*'[2]Założenia,wskaźniki, listy'!$C$44,IF(O6="gaz",X6*'[2]Założenia,wskaźniki, listy'!$D$44,IF(O6="drewno",X6*'[2]Założenia,wskaźniki, listy'!$E$44,IF(O6="pelet",X6*'[2]Założenia,wskaźniki, listy'!$F$44,IF(O6="olej opałowy",X6*'[2]Założenia,wskaźniki, listy'!$G$44,IF(O6="sieć ciepłownicza",0,IF(O6="prąd",0,0)))))))</f>
        <v>0</v>
      </c>
      <c r="Z6" s="182">
        <f>IF(O6="węgiel",X6*'[2]Założenia,wskaźniki, listy'!$C$45,IF(O6="gaz",X6*'[2]Założenia,wskaźniki, listy'!$D$45,IF(O6="drewno",X6*'[2]Założenia,wskaźniki, listy'!$E$45,IF(O6="pelet",X6*'[2]Założenia,wskaźniki, listy'!$F$45,IF(O6="olej opałowy",X6*'[2]Założenia,wskaźniki, listy'!$G$45,IF(O6="sieć ciepłownicza",0,IF(O6="prąd",0,0)))))))</f>
        <v>0</v>
      </c>
      <c r="AA6" s="182">
        <f>IF(O6="węgiel",X6*'[2]Założenia,wskaźniki, listy'!$C$46,IF(O6="gaz",X6*'[2]Założenia,wskaźniki, listy'!$D$46,IF(O6="drewno",X6*'[2]Założenia,wskaźniki, listy'!$E$46,IF(O6="pelet",X6*'[2]Założenia,wskaźniki, listy'!$F$46,IF(O6="olej opałowy",X6*'[2]Założenia,wskaźniki, listy'!$G$46,IF(O6="sieć ciepłownicza",0,IF(O6="prąd",0,0)))))))</f>
        <v>0</v>
      </c>
      <c r="AB6" s="182">
        <f>IF(O6="węgiel",X6*'[2]Założenia,wskaźniki, listy'!$C$47,IF(O6="gaz",X6*'[2]Założenia,wskaźniki, listy'!$D$47,IF(O6="drewno",X6*'[2]Założenia,wskaźniki, listy'!$E$47,IF(O6="pelet",X6*'[2]Założenia,wskaźniki, listy'!$F$47,IF(O6="olej opałowy",X6*'[2]Założenia,wskaźniki, listy'!$G$47,IF(O6="sieć ciepłownicza",0,IF(O6="prąd",0,0)))))))</f>
        <v>0</v>
      </c>
      <c r="AC6" s="182">
        <f>IF(O6="węgiel",X6*'[2]Założenia,wskaźniki, listy'!$C$48,IF(O6="gaz",X6*'[2]Założenia,wskaźniki, listy'!$D$48,IF(O6="drewno",X6*'[2]Założenia,wskaźniki, listy'!$E$48,IF(O6="pelet",X6*'[2]Założenia,wskaźniki, listy'!$F$48,IF(O6="olej opałowy",X6*'[2]Założenia,wskaźniki, listy'!$G$48,IF(O6="sieć ciepłownicza",0,IF(O6="prąd",0,0)))))))</f>
        <v>0</v>
      </c>
      <c r="AD6" s="182">
        <f>IF(O6="węgiel",X6*'[2]Założenia,wskaźniki, listy'!$C$49,IF(O6="gaz",X6*'[2]Założenia,wskaźniki, listy'!$D$49,IF(O6="drewno",X6*'[2]Założenia,wskaźniki, listy'!$E$49,IF(O6="pelet",X6*'[2]Założenia,wskaźniki, listy'!$F$49,IF(O6="olej opałowy",X6*'[2]Założenia,wskaźniki, listy'!$G$49,IF(O6="sieć ciepłownicza",0,IF(O6="prąd",0,0)))))))</f>
        <v>0</v>
      </c>
      <c r="AE6" s="182">
        <f>IF(O6="węgiel",X6*'[2]Założenia,wskaźniki, listy'!$C$50,IF(O6="gaz",X6*'[2]Założenia,wskaźniki, listy'!$D$50,IF(O6="drewno",X6*'[2]Założenia,wskaźniki, listy'!$E$50,IF(O6="pelet",X6*'[2]Założenia,wskaźniki, listy'!$F$50,IF(O6="olej opałowy",X6*'[2]Założenia,wskaźniki, listy'!$G$50,IF(O6="sieć ciepłownicza",0,IF(O6="prąd",0,0)))))))</f>
        <v>0</v>
      </c>
      <c r="AF6" s="182">
        <f>IF(O6="węgiel",X6*[2]Z!$C$44,IF(O6="gaz",X6*[2]Z!$D$44,IF(O6="drewno",X6*[2]Z!$E$44,IF(O6="pelet",X6*[2]Z!$F$44,IF(O6="olej opałowy",X6*[2]Z!$G$44,IF(O6="sieć ciepłownicza",0,IF(O6="prąd",0,0)))))))</f>
        <v>0</v>
      </c>
      <c r="AG6" s="182">
        <f>IF(O6="węgiel",X6*[2]Z!$C$45,IF(O6="gaz",X6*[2]Z!$D$45,IF(O6="drewno",X6*[2]Z!$E$45,IF(O6="pelet",X6*[2]Z!$F$45,IF(O6="olej opałowy",X6*[2]Z!$G$45,IF(O6="sieć ciepłownicza",0,IF(O6="prąd",0,0)))))))</f>
        <v>0</v>
      </c>
      <c r="AH6" s="182">
        <f>IF(O6="węgiel",X6*[2]Z!$C$46,IF(O6="gaz",X6*[2]Z!$D$46,IF(O6="drewno",X6*[2]Z!$E$46,IF(O6="pelet",X6*[2]Z!$F$46,IF(O6="olej opałowy",X6*[2]Z!$G$46,IF(O6="sieć ciepłownicza",0,IF(O6="prąd",0,0)))))))</f>
        <v>0</v>
      </c>
      <c r="AI6" s="182">
        <f>IF(O6="węgiel",X6*[2]Z!$C$47,IF(O6="gaz",X6*[2]Z!$D$47,IF(O6="drewno",X6*[2]Z!$E$47,IF(O6="pelet",X6*[2]Z!$F$47,IF(O6="olej opałowy",X6*[2]Z!$G$47,IF(O6="sieć ciepłownicza",0,IF(O6="prąd",0,0)))))))</f>
        <v>0</v>
      </c>
      <c r="AJ6" s="182">
        <f>IF(O6="węgiel",X6*[2]Z!$C$48,IF(O6="gaz",X6*[2]Z!$D$48,IF(O6="drewno",X6*[2]Z!$E$48,IF(O6="pelet",X6*[2]Z!$F$48,IF(O6="olej opałowy",X6*[2]Z!$G$48,IF(O6="sieć ciepłownicza",0,IF(O6="prąd",0,0)))))))</f>
        <v>0</v>
      </c>
      <c r="AK6" s="182">
        <f>IF(O6="węgiel",X6*[2]Z!$C$49,IF(O6="gaz",X6*[2]Z!$D$49,IF(O6="drewno",X6*[2]Z!$E$49,IF(O6="pelet",X6*[2]Z!$F$49,IF(O6="olej opałowy",X6*[2]Z!$G$49,IF(O6="sieć ciepłownicza",0,IF(O6="prąd",0,0)))))))</f>
        <v>0</v>
      </c>
      <c r="AL6" s="182">
        <f>IF(O6="węgiel",X6*[2]Z!$C$50,IF(O6="gaz",X6*[2]Z!$D$50,IF(O6="drewno",X6*[2]Z!$E$50,IF(O6="pelet",X6*[2]Z!$F$50,IF(O6="olej opałowy",X6*[2]Z!$G$50,IF(O6="sieć ciepłownicza",0,IF(O6="prąd",0,0)))))))</f>
        <v>0</v>
      </c>
      <c r="AM6" s="182">
        <f>IF(T6="węgiel",W6*'[2]Założenia,wskaźniki, listy'!$C$44,IF(T6="gaz",W6*'[2]Założenia,wskaźniki, listy'!$D$44,IF(T6="drewno",W6*'[2]Założenia,wskaźniki, listy'!$E$44,IF(T6="pelet",W6*'[2]Założenia,wskaźniki, listy'!$F$44,IF(T6="olej opałowy",W6*'[2]Założenia,wskaźniki, listy'!$G$44,IF(T6="sieć ciepłownicza",0,IF(T6="prąd",0,0)))))))</f>
        <v>0</v>
      </c>
      <c r="AN6" s="182">
        <f>IF(U6="węgiel",X6*'[2]Założenia,wskaźniki, listy'!$C$45,IF(U6="gaz",X6*'[2]Założenia,wskaźniki, listy'!$D$45,IF(U6="drewno",X6*'[2]Założenia,wskaźniki, listy'!$E$45,IF(U6="pelet",X6*'[2]Założenia,wskaźniki, listy'!$F$45,IF(U6="olej opałowy",X6*'[2]Założenia,wskaźniki, listy'!$G$45,IF(U6="sieć ciepłownicza",0,IF(U6="prąd",0,0)))))))</f>
        <v>0</v>
      </c>
      <c r="AO6" s="182">
        <f>IF(U6="węgiel",X6*'[2]Założenia,wskaźniki, listy'!$C$46,IF(U6="gaz",X6*'[2]Założenia,wskaźniki, listy'!$D$46,IF(U6="drewno",X6*'[2]Założenia,wskaźniki, listy'!$E$46,IF(U6="pelet",X6*'[2]Założenia,wskaźniki, listy'!$F$46,IF(U6="olej opałowy",X6*'[2]Założenia,wskaźniki, listy'!$G$46,IF(U6="sieć ciepłownicza",0,IF(U6="prąd",0,0)))))))</f>
        <v>0</v>
      </c>
      <c r="AP6" s="182">
        <f>IF(U6="węgiel",X6*'[2]Założenia,wskaźniki, listy'!$C$47,IF(U6="gaz",X6*'[2]Założenia,wskaźniki, listy'!$D$47,IF(U6="drewno",X6*'[2]Założenia,wskaźniki, listy'!$E$47,IF(U6="pelet",X6*'[2]Założenia,wskaźniki, listy'!$F$47,IF(U6="olej opałowy",X6*'[2]Założenia,wskaźniki, listy'!$G$47,IF(U6="sieć ciepłownicza",0,IF(U6="prąd",0,0)))))))</f>
        <v>0</v>
      </c>
      <c r="AQ6" s="182">
        <f>IF(U6="węgiel",X6*'[2]Założenia,wskaźniki, listy'!$C$48,IF(U6="gaz",X6*'[2]Założenia,wskaźniki, listy'!$D$48,IF(U6="drewno",X6*'[2]Założenia,wskaźniki, listy'!$E$48,IF(U6="pelet",X6*'[2]Założenia,wskaźniki, listy'!$F$48,IF(U6="olej opałowy",X6*'[2]Założenia,wskaźniki, listy'!$G$48,IF(U6="sieć ciepłownicza",0,IF(U6="prąd",0,0)))))))</f>
        <v>0</v>
      </c>
      <c r="AR6" s="182">
        <f>IF(U6="węgiel",X6*'[2]Założenia,wskaźniki, listy'!$C$49,IF(U6="gaz",X6*'[2]Założenia,wskaźniki, listy'!$D$49,IF(U6="drewno",X6*'[2]Założenia,wskaźniki, listy'!$E$49,IF(U6="pelet",X6*'[2]Założenia,wskaźniki, listy'!$F$49,IF(U6="olej opałowy",X6*'[2]Założenia,wskaźniki, listy'!$G$49,IF(U6="sieć ciepłownicza",0,IF(U6="prąd",0,0)))))))</f>
        <v>0</v>
      </c>
      <c r="AS6" s="182">
        <f>IF(U6="węgiel",X6*'[2]Założenia,wskaźniki, listy'!$C$50,IF(U6="gaz",X6*'[2]Założenia,wskaźniki, listy'!$D$50,IF(U6="drewno",X6*'[2]Założenia,wskaźniki, listy'!$E$50,IF(U6="pelet",X6*'[2]Założenia,wskaźniki, listy'!$F$50,IF(U6="olej opałowy",X6*'[2]Założenia,wskaźniki, listy'!$G$50,IF(U6="sieć ciepłownicza",0,IF(U6="prąd",0,0)))))))</f>
        <v>0</v>
      </c>
      <c r="AT6" s="182">
        <f t="shared" ref="AT6:AT11" si="29">U6</f>
        <v>0</v>
      </c>
      <c r="AU6" s="182"/>
      <c r="AV6" s="182">
        <f t="shared" ref="AV6:AV11" si="30">IF(O6="węgiel",U6*$AX$61,IF(O6="gaz",U6*$AY$61,IF(O6="drewno",U6*$AZ$61,IF(O6="pelet",U6*$BA$61,IF(O6="olej opałowy",U6*$BB$61,IF(O6="sieć ciepłownicza",0,IF(O6="prąd",0,0)))))))</f>
        <v>0</v>
      </c>
      <c r="AW6" s="182">
        <f t="shared" si="2"/>
        <v>0</v>
      </c>
      <c r="AX6" s="182">
        <f>IF(O6="węgiel",U6*$AX$63,IF(O6="gaz",U6*$AY$63,IF(O6="drewno",U6*$AZ$63,IF(O6="pelet",U6*$BA$63,IF(O6="olej opałowy",U6*$BB$63,IF(O6="sieć ciepłownicza",0,IF(O6="prąd",0,0)))))))+1.191*AU6</f>
        <v>0</v>
      </c>
      <c r="AY6" s="182">
        <f t="shared" si="3"/>
        <v>0</v>
      </c>
      <c r="AZ6" s="182">
        <f t="shared" si="4"/>
        <v>0</v>
      </c>
      <c r="BA6" s="182">
        <f t="shared" si="5"/>
        <v>0</v>
      </c>
      <c r="BB6" s="182">
        <f t="shared" si="6"/>
        <v>0</v>
      </c>
      <c r="BC6" s="71"/>
      <c r="BD6" s="183"/>
      <c r="BE6" s="349"/>
      <c r="BF6" s="183"/>
      <c r="BG6" s="183"/>
      <c r="BH6" s="183"/>
      <c r="BI6" s="183"/>
      <c r="BJ6" s="183"/>
      <c r="BK6" s="249"/>
      <c r="BN6" s="245">
        <f t="shared" si="7"/>
        <v>0</v>
      </c>
      <c r="BO6" s="87" t="b">
        <f t="shared" si="8"/>
        <v>0</v>
      </c>
      <c r="BP6" s="87" t="b">
        <f t="shared" si="9"/>
        <v>0</v>
      </c>
      <c r="BQ6" s="87" t="b">
        <f t="shared" si="10"/>
        <v>0</v>
      </c>
      <c r="BR6" s="87" t="b">
        <f t="shared" si="11"/>
        <v>0</v>
      </c>
      <c r="BS6" s="87" t="b">
        <f t="shared" si="12"/>
        <v>0</v>
      </c>
      <c r="BT6" s="87" t="b">
        <f t="shared" si="13"/>
        <v>0</v>
      </c>
      <c r="BU6" s="87" t="b">
        <f t="shared" si="14"/>
        <v>0</v>
      </c>
      <c r="BV6" s="87" t="b">
        <f t="shared" si="15"/>
        <v>0</v>
      </c>
      <c r="BW6" s="246" t="b">
        <f t="shared" si="16"/>
        <v>0</v>
      </c>
      <c r="BX6" s="87" t="b">
        <f t="shared" si="17"/>
        <v>0</v>
      </c>
      <c r="BY6" s="87" t="b">
        <f t="shared" si="18"/>
        <v>0</v>
      </c>
      <c r="BZ6" s="87" t="b">
        <f t="shared" si="19"/>
        <v>0</v>
      </c>
      <c r="CA6" s="87" t="b">
        <f t="shared" si="20"/>
        <v>0</v>
      </c>
      <c r="CB6" s="87" t="b">
        <f t="shared" si="21"/>
        <v>0</v>
      </c>
      <c r="CC6" s="87" t="b">
        <f t="shared" si="22"/>
        <v>0</v>
      </c>
      <c r="CD6" s="245" t="b">
        <f t="shared" si="23"/>
        <v>0</v>
      </c>
      <c r="CE6" s="87" t="b">
        <f t="shared" si="24"/>
        <v>0</v>
      </c>
      <c r="CF6" s="87" t="b">
        <f t="shared" si="25"/>
        <v>0</v>
      </c>
      <c r="CG6" s="87" t="b">
        <f t="shared" si="26"/>
        <v>0</v>
      </c>
      <c r="CH6" s="87" t="b">
        <f t="shared" si="27"/>
        <v>0</v>
      </c>
      <c r="CI6" s="246" t="b">
        <f t="shared" si="28"/>
        <v>0</v>
      </c>
    </row>
    <row r="7" spans="1:89" s="236" customFormat="1" ht="18.75" hidden="1" customHeight="1">
      <c r="A7" s="360">
        <v>3</v>
      </c>
      <c r="B7" s="234">
        <f>SUM($C7:C$12)</f>
        <v>0</v>
      </c>
      <c r="C7" s="347" t="b">
        <f t="shared" ref="C7" si="31">IF(ISTEXT(D7),1)</f>
        <v>0</v>
      </c>
      <c r="D7" s="396"/>
      <c r="E7" s="234"/>
      <c r="F7" s="234"/>
      <c r="G7" s="234"/>
      <c r="H7" s="71"/>
      <c r="I7" s="71"/>
      <c r="J7" s="71"/>
      <c r="K7" s="71"/>
      <c r="L7" s="71"/>
      <c r="M7" s="71"/>
      <c r="N7" s="71"/>
      <c r="O7" s="398"/>
      <c r="P7" s="231"/>
      <c r="Q7" s="232"/>
      <c r="R7" s="232"/>
      <c r="S7" s="232"/>
      <c r="T7" s="231"/>
      <c r="U7" s="354">
        <f t="shared" ref="U7:U11" si="32">IF(V7&gt;0,(W7+X7+V7)/2,W7+X7)</f>
        <v>0</v>
      </c>
      <c r="V7" s="355">
        <f>IF(N7="kompletna",M7*G7*0.0036*'[2]Założenia,wskaźniki, listy'!$H$13,IF(N7="częściowa",M7*G7*0.0036*'[2]Założenia,wskaźniki, listy'!$H$14,IF(N7="brak",M7*G7*0.0036*'[2]Założenia,wskaźniki, listy'!$H$15,0)))</f>
        <v>0</v>
      </c>
      <c r="W7" s="182">
        <f>K7*'[3]Założenia,wskaźniki, listy'!$L$16</f>
        <v>0</v>
      </c>
      <c r="X7" s="182">
        <f>IF(O7="węgiel",P7*'[3]Założenia,wskaźniki, listy'!$B$4,IF(O7="gaz",P7*'[3]Założenia,wskaźniki, listy'!$B$5,IF(O7="drewno",P7*'[3]Założenia,wskaźniki, listy'!$B$6,IF(O7="pelet",P7*'[3]Założenia,wskaźniki, listy'!$B$7,IF(O7="olej opałowy",P7*'[3]Założenia,wskaźniki, listy'!$B$8,IF(O7="sieć ciepłownicza",0,0))))))</f>
        <v>0</v>
      </c>
      <c r="Y7" s="182">
        <f>IF(O7="węgiel",X7*'[2]Założenia,wskaźniki, listy'!$C$44,IF(O7="gaz",X7*'[2]Założenia,wskaźniki, listy'!$D$44,IF(O7="drewno",X7*'[2]Założenia,wskaźniki, listy'!$E$44,IF(O7="pelet",X7*'[2]Założenia,wskaźniki, listy'!$F$44,IF(O7="olej opałowy",X7*'[2]Założenia,wskaźniki, listy'!$G$44,IF(O7="sieć ciepłownicza",0,IF(O7="prąd",0,0)))))))</f>
        <v>0</v>
      </c>
      <c r="Z7" s="182">
        <f>IF(O7="węgiel",X7*'[2]Założenia,wskaźniki, listy'!$C$45,IF(O7="gaz",X7*'[2]Założenia,wskaźniki, listy'!$D$45,IF(O7="drewno",X7*'[2]Założenia,wskaźniki, listy'!$E$45,IF(O7="pelet",X7*'[2]Założenia,wskaźniki, listy'!$F$45,IF(O7="olej opałowy",X7*'[2]Założenia,wskaźniki, listy'!$G$45,IF(O7="sieć ciepłownicza",0,IF(O7="prąd",0,0)))))))</f>
        <v>0</v>
      </c>
      <c r="AA7" s="182">
        <f>IF(O7="węgiel",X7*'[2]Założenia,wskaźniki, listy'!$C$46,IF(O7="gaz",X7*'[2]Założenia,wskaźniki, listy'!$D$46,IF(O7="drewno",X7*'[2]Założenia,wskaźniki, listy'!$E$46,IF(O7="pelet",X7*'[2]Założenia,wskaźniki, listy'!$F$46,IF(O7="olej opałowy",X7*'[2]Założenia,wskaźniki, listy'!$G$46,IF(O7="sieć ciepłownicza",0,IF(O7="prąd",0,0)))))))</f>
        <v>0</v>
      </c>
      <c r="AB7" s="182">
        <f>IF(O7="węgiel",X7*'[2]Założenia,wskaźniki, listy'!$C$47,IF(O7="gaz",X7*'[2]Założenia,wskaźniki, listy'!$D$47,IF(O7="drewno",X7*'[2]Założenia,wskaźniki, listy'!$E$47,IF(O7="pelet",X7*'[2]Założenia,wskaźniki, listy'!$F$47,IF(O7="olej opałowy",X7*'[2]Założenia,wskaźniki, listy'!$G$47,IF(O7="sieć ciepłownicza",0,IF(O7="prąd",0,0)))))))</f>
        <v>0</v>
      </c>
      <c r="AC7" s="182">
        <f>IF(O7="węgiel",X7*'[2]Założenia,wskaźniki, listy'!$C$48,IF(O7="gaz",X7*'[2]Założenia,wskaźniki, listy'!$D$48,IF(O7="drewno",X7*'[2]Założenia,wskaźniki, listy'!$E$48,IF(O7="pelet",X7*'[2]Założenia,wskaźniki, listy'!$F$48,IF(O7="olej opałowy",X7*'[2]Założenia,wskaźniki, listy'!$G$48,IF(O7="sieć ciepłownicza",0,IF(O7="prąd",0,0)))))))</f>
        <v>0</v>
      </c>
      <c r="AD7" s="182">
        <f>IF(O7="węgiel",X7*'[2]Założenia,wskaźniki, listy'!$C$49,IF(O7="gaz",X7*'[2]Założenia,wskaźniki, listy'!$D$49,IF(O7="drewno",X7*'[2]Założenia,wskaźniki, listy'!$E$49,IF(O7="pelet",X7*'[2]Założenia,wskaźniki, listy'!$F$49,IF(O7="olej opałowy",X7*'[2]Założenia,wskaźniki, listy'!$G$49,IF(O7="sieć ciepłownicza",0,IF(O7="prąd",0,0)))))))</f>
        <v>0</v>
      </c>
      <c r="AE7" s="182">
        <f>IF(O7="węgiel",X7*'[2]Założenia,wskaźniki, listy'!$C$50,IF(O7="gaz",X7*'[2]Założenia,wskaźniki, listy'!$D$50,IF(O7="drewno",X7*'[2]Założenia,wskaźniki, listy'!$E$50,IF(O7="pelet",X7*'[2]Założenia,wskaźniki, listy'!$F$50,IF(O7="olej opałowy",X7*'[2]Założenia,wskaźniki, listy'!$G$50,IF(O7="sieć ciepłownicza",0,IF(O7="prąd",0,0)))))))</f>
        <v>0</v>
      </c>
      <c r="AF7" s="182">
        <f>IF(O7="węgiel",X7*[2]Z!$C$44,IF(O7="gaz",X7*[2]Z!$D$44,IF(O7="drewno",X7*[2]Z!$E$44,IF(O7="pelet",X7*[2]Z!$F$44,IF(O7="olej opałowy",X7*[2]Z!$G$44,IF(O7="sieć ciepłownicza",0,IF(O7="prąd",0,0)))))))</f>
        <v>0</v>
      </c>
      <c r="AG7" s="182">
        <f>IF(O7="węgiel",X7*[2]Z!$C$45,IF(O7="gaz",X7*[2]Z!$D$45,IF(O7="drewno",X7*[2]Z!$E$45,IF(O7="pelet",X7*[2]Z!$F$45,IF(O7="olej opałowy",X7*[2]Z!$G$45,IF(O7="sieć ciepłownicza",0,IF(O7="prąd",0,0)))))))</f>
        <v>0</v>
      </c>
      <c r="AH7" s="182">
        <f>IF(O7="węgiel",X7*[2]Z!$C$46,IF(O7="gaz",X7*[2]Z!$D$46,IF(O7="drewno",X7*[2]Z!$E$46,IF(O7="pelet",X7*[2]Z!$F$46,IF(O7="olej opałowy",X7*[2]Z!$G$46,IF(O7="sieć ciepłownicza",0,IF(O7="prąd",0,0)))))))</f>
        <v>0</v>
      </c>
      <c r="AI7" s="182">
        <f>IF(O7="węgiel",X7*[2]Z!$C$47,IF(O7="gaz",X7*[2]Z!$D$47,IF(O7="drewno",X7*[2]Z!$E$47,IF(O7="pelet",X7*[2]Z!$F$47,IF(O7="olej opałowy",X7*[2]Z!$G$47,IF(O7="sieć ciepłownicza",0,IF(O7="prąd",0,0)))))))</f>
        <v>0</v>
      </c>
      <c r="AJ7" s="182">
        <f>IF(O7="węgiel",X7*[2]Z!$C$48,IF(O7="gaz",X7*[2]Z!$D$48,IF(O7="drewno",X7*[2]Z!$E$48,IF(O7="pelet",X7*[2]Z!$F$48,IF(O7="olej opałowy",X7*[2]Z!$G$48,IF(O7="sieć ciepłownicza",0,IF(O7="prąd",0,0)))))))</f>
        <v>0</v>
      </c>
      <c r="AK7" s="182">
        <f>IF(O7="węgiel",X7*[2]Z!$C$49,IF(O7="gaz",X7*[2]Z!$D$49,IF(O7="drewno",X7*[2]Z!$E$49,IF(O7="pelet",X7*[2]Z!$F$49,IF(O7="olej opałowy",X7*[2]Z!$G$49,IF(O7="sieć ciepłownicza",0,IF(O7="prąd",0,0)))))))</f>
        <v>0</v>
      </c>
      <c r="AL7" s="182">
        <f>IF(O7="węgiel",X7*[2]Z!$C$50,IF(O7="gaz",X7*[2]Z!$D$50,IF(O7="drewno",X7*[2]Z!$E$50,IF(O7="pelet",X7*[2]Z!$F$50,IF(O7="olej opałowy",X7*[2]Z!$G$50,IF(O7="sieć ciepłownicza",0,IF(O7="prąd",0,0)))))))</f>
        <v>0</v>
      </c>
      <c r="AM7" s="182">
        <f>IF(T7="węgiel",W7*'[2]Założenia,wskaźniki, listy'!$C$44,IF(T7="gaz",W7*'[2]Założenia,wskaźniki, listy'!$D$44,IF(T7="drewno",W7*'[2]Założenia,wskaźniki, listy'!$E$44,IF(T7="pelet",W7*'[2]Założenia,wskaźniki, listy'!$F$44,IF(T7="olej opałowy",W7*'[2]Założenia,wskaźniki, listy'!$G$44,IF(T7="sieć ciepłownicza",0,IF(T7="prąd",0,0)))))))</f>
        <v>0</v>
      </c>
      <c r="AN7" s="182">
        <f>IF(U7="węgiel",X7*'[2]Założenia,wskaźniki, listy'!$C$45,IF(U7="gaz",X7*'[2]Założenia,wskaźniki, listy'!$D$45,IF(U7="drewno",X7*'[2]Założenia,wskaźniki, listy'!$E$45,IF(U7="pelet",X7*'[2]Założenia,wskaźniki, listy'!$F$45,IF(U7="olej opałowy",X7*'[2]Założenia,wskaźniki, listy'!$G$45,IF(U7="sieć ciepłownicza",0,IF(U7="prąd",0,0)))))))</f>
        <v>0</v>
      </c>
      <c r="AO7" s="182">
        <f>IF(U7="węgiel",X7*'[2]Założenia,wskaźniki, listy'!$C$46,IF(U7="gaz",X7*'[2]Założenia,wskaźniki, listy'!$D$46,IF(U7="drewno",X7*'[2]Założenia,wskaźniki, listy'!$E$46,IF(U7="pelet",X7*'[2]Założenia,wskaźniki, listy'!$F$46,IF(U7="olej opałowy",X7*'[2]Założenia,wskaźniki, listy'!$G$46,IF(U7="sieć ciepłownicza",0,IF(U7="prąd",0,0)))))))</f>
        <v>0</v>
      </c>
      <c r="AP7" s="182">
        <f>IF(U7="węgiel",X7*'[2]Założenia,wskaźniki, listy'!$C$47,IF(U7="gaz",X7*'[2]Założenia,wskaźniki, listy'!$D$47,IF(U7="drewno",X7*'[2]Założenia,wskaźniki, listy'!$E$47,IF(U7="pelet",X7*'[2]Założenia,wskaźniki, listy'!$F$47,IF(U7="olej opałowy",X7*'[2]Założenia,wskaźniki, listy'!$G$47,IF(U7="sieć ciepłownicza",0,IF(U7="prąd",0,0)))))))</f>
        <v>0</v>
      </c>
      <c r="AQ7" s="182">
        <f>IF(U7="węgiel",X7*'[2]Założenia,wskaźniki, listy'!$C$48,IF(U7="gaz",X7*'[2]Założenia,wskaźniki, listy'!$D$48,IF(U7="drewno",X7*'[2]Założenia,wskaźniki, listy'!$E$48,IF(U7="pelet",X7*'[2]Założenia,wskaźniki, listy'!$F$48,IF(U7="olej opałowy",X7*'[2]Założenia,wskaźniki, listy'!$G$48,IF(U7="sieć ciepłownicza",0,IF(U7="prąd",0,0)))))))</f>
        <v>0</v>
      </c>
      <c r="AR7" s="182">
        <f>IF(U7="węgiel",X7*'[2]Założenia,wskaźniki, listy'!$C$49,IF(U7="gaz",X7*'[2]Założenia,wskaźniki, listy'!$D$49,IF(U7="drewno",X7*'[2]Założenia,wskaźniki, listy'!$E$49,IF(U7="pelet",X7*'[2]Założenia,wskaźniki, listy'!$F$49,IF(U7="olej opałowy",X7*'[2]Założenia,wskaźniki, listy'!$G$49,IF(U7="sieć ciepłownicza",0,IF(U7="prąd",0,0)))))))</f>
        <v>0</v>
      </c>
      <c r="AS7" s="182">
        <f>IF(U7="węgiel",X7*'[2]Założenia,wskaźniki, listy'!$C$50,IF(U7="gaz",X7*'[2]Założenia,wskaźniki, listy'!$D$50,IF(U7="drewno",X7*'[2]Założenia,wskaźniki, listy'!$E$50,IF(U7="pelet",X7*'[2]Założenia,wskaźniki, listy'!$F$50,IF(U7="olej opałowy",X7*'[2]Założenia,wskaźniki, listy'!$G$50,IF(U7="sieć ciepłownicza",0,IF(U7="prąd",0,0)))))))</f>
        <v>0</v>
      </c>
      <c r="AT7" s="182">
        <f t="shared" ref="AT7:AT9" si="33">U7</f>
        <v>0</v>
      </c>
      <c r="AU7" s="182"/>
      <c r="AV7" s="182">
        <f t="shared" si="30"/>
        <v>0</v>
      </c>
      <c r="AW7" s="182">
        <f t="shared" si="2"/>
        <v>0</v>
      </c>
      <c r="AX7" s="182">
        <f t="shared" ref="AX7:AX11" si="34">IF(O7="węgiel",U7*$AX$63,IF(O7="gaz",U7*$AY$63,IF(O7="drewno",U7*$AZ$63,IF(O7="pelet",U7*$BA$63,IF(O7="olej opałowy",U7*$BB$63,IF(O7="sieć ciepłownicza",0,IF(O7="prąd",0,0)))))))+1.191*AU7</f>
        <v>0</v>
      </c>
      <c r="AY7" s="182">
        <f t="shared" si="3"/>
        <v>0</v>
      </c>
      <c r="AZ7" s="182">
        <f t="shared" si="4"/>
        <v>0</v>
      </c>
      <c r="BA7" s="182">
        <f t="shared" si="5"/>
        <v>0</v>
      </c>
      <c r="BB7" s="182">
        <f t="shared" si="6"/>
        <v>0</v>
      </c>
      <c r="BC7" s="71"/>
      <c r="BD7" s="183"/>
      <c r="BE7" s="349"/>
      <c r="BF7" s="183"/>
      <c r="BG7" s="183"/>
      <c r="BH7" s="183"/>
      <c r="BI7" s="183"/>
      <c r="BJ7" s="183"/>
      <c r="BK7" s="249"/>
      <c r="BN7" s="245">
        <f t="shared" ref="BN7:BN9" si="35">IF(F7&lt;=1966,G7)</f>
        <v>0</v>
      </c>
      <c r="BO7" s="87" t="b">
        <f t="shared" ref="BO7:BO9" si="36">IF(N7="kompletna",BN7,IF(N7="częściowa",0.5*BN7))</f>
        <v>0</v>
      </c>
      <c r="BP7" s="87" t="b">
        <f t="shared" ref="BP7:BP9" si="37">IF(F7&gt;1966,IF(F7&lt;=1985,G7))</f>
        <v>0</v>
      </c>
      <c r="BQ7" s="87" t="b">
        <f t="shared" ref="BQ7:BQ9" si="38">IF(N7="kompletna",BP7,IF(N7="częściowa",0.5*BP7))</f>
        <v>0</v>
      </c>
      <c r="BR7" s="87" t="b">
        <f t="shared" ref="BR7:BR9" si="39">IF(F7&gt;1985,IF(F7&lt;=1992,G7))</f>
        <v>0</v>
      </c>
      <c r="BS7" s="87" t="b">
        <f t="shared" ref="BS7:BS9" si="40">IF(N7="kompletna",BR7,IF(N7="częściowa",0.5*BR7))</f>
        <v>0</v>
      </c>
      <c r="BT7" s="87" t="b">
        <f t="shared" ref="BT7:BT9" si="41">IF(F7&gt;1992,IF(F7&lt;=1996,G7))</f>
        <v>0</v>
      </c>
      <c r="BU7" s="87" t="b">
        <f t="shared" ref="BU7:BU9" si="42">IF(N7="kompletna",BT7,IF(N7="częściowa",0.5*BT7))</f>
        <v>0</v>
      </c>
      <c r="BV7" s="87" t="b">
        <f t="shared" ref="BV7:BV9" si="43">IF(F7&gt;1996,IF(F7&lt;=2014,G7))</f>
        <v>0</v>
      </c>
      <c r="BW7" s="246" t="b">
        <f t="shared" ref="BW7:BW9" si="44">IF(N7="kompletna",BV7,IF(N7="częściowa",0.5*BV7))</f>
        <v>0</v>
      </c>
      <c r="BX7" s="87" t="b">
        <f t="shared" si="17"/>
        <v>0</v>
      </c>
      <c r="BY7" s="87" t="b">
        <f t="shared" ref="BY7:BY9" si="45">IF(O7="gaz",U7)</f>
        <v>0</v>
      </c>
      <c r="BZ7" s="87" t="b">
        <f t="shared" si="19"/>
        <v>0</v>
      </c>
      <c r="CA7" s="87" t="b">
        <f t="shared" si="20"/>
        <v>0</v>
      </c>
      <c r="CB7" s="87" t="b">
        <f t="shared" si="21"/>
        <v>0</v>
      </c>
      <c r="CC7" s="87" t="b">
        <f t="shared" ref="CC7:CC9" si="46">IF(O7="prąd",U7)</f>
        <v>0</v>
      </c>
      <c r="CD7" s="245" t="b">
        <f t="shared" si="23"/>
        <v>0</v>
      </c>
      <c r="CE7" s="87" t="b">
        <f t="shared" si="24"/>
        <v>0</v>
      </c>
      <c r="CF7" s="87" t="b">
        <f t="shared" si="25"/>
        <v>0</v>
      </c>
      <c r="CG7" s="87" t="b">
        <f t="shared" si="26"/>
        <v>0</v>
      </c>
      <c r="CH7" s="87" t="b">
        <f t="shared" si="27"/>
        <v>0</v>
      </c>
      <c r="CI7" s="246" t="b">
        <f t="shared" si="28"/>
        <v>0</v>
      </c>
    </row>
    <row r="8" spans="1:89" s="236" customFormat="1" ht="8.25" hidden="1">
      <c r="A8" s="360">
        <v>4</v>
      </c>
      <c r="B8" s="234"/>
      <c r="C8" s="347"/>
      <c r="D8" s="396"/>
      <c r="E8" s="234"/>
      <c r="F8" s="234"/>
      <c r="G8" s="234"/>
      <c r="H8" s="71"/>
      <c r="I8" s="71"/>
      <c r="J8" s="71"/>
      <c r="K8" s="71"/>
      <c r="L8" s="71"/>
      <c r="M8" s="71"/>
      <c r="N8" s="71"/>
      <c r="O8" s="398"/>
      <c r="P8" s="231"/>
      <c r="Q8" s="232"/>
      <c r="R8" s="232"/>
      <c r="S8" s="232"/>
      <c r="T8" s="231"/>
      <c r="U8" s="354">
        <f t="shared" si="32"/>
        <v>0</v>
      </c>
      <c r="V8" s="355">
        <f>IF(N8="kompletna",M8*G8*0.0036*'[2]Założenia,wskaźniki, listy'!$H$13,IF(N8="częściowa",M8*G8*0.0036*'[2]Założenia,wskaźniki, listy'!$H$14,IF(N8="brak",M8*G8*0.0036*'[2]Założenia,wskaźniki, listy'!$H$15,0)))</f>
        <v>0</v>
      </c>
      <c r="W8" s="182">
        <f>K8*'[3]Założenia,wskaźniki, listy'!$L$16</f>
        <v>0</v>
      </c>
      <c r="X8" s="182">
        <f>IF(O8="węgiel",P8*'[3]Założenia,wskaźniki, listy'!$B$4,IF(O8="gaz",P8*'[3]Założenia,wskaźniki, listy'!$B$5,IF(O8="drewno",P8*'[3]Założenia,wskaźniki, listy'!$B$6,IF(O8="pelet",P8*'[3]Założenia,wskaźniki, listy'!$B$7,IF(O8="olej opałowy",P8*'[3]Założenia,wskaźniki, listy'!$B$8,IF(O8="sieć ciepłownicza",0,0))))))</f>
        <v>0</v>
      </c>
      <c r="Y8" s="182">
        <f>IF(O8="węgiel",X8*'[2]Założenia,wskaźniki, listy'!$C$44,IF(O8="gaz",X8*'[2]Założenia,wskaźniki, listy'!$D$44,IF(O8="drewno",X8*'[2]Założenia,wskaźniki, listy'!$E$44,IF(O8="pelet",X8*'[2]Założenia,wskaźniki, listy'!$F$44,IF(O8="olej opałowy",X8*'[2]Założenia,wskaźniki, listy'!$G$44,IF(O8="sieć ciepłownicza",0,IF(O8="prąd",0,0)))))))</f>
        <v>0</v>
      </c>
      <c r="Z8" s="182">
        <f>IF(O8="węgiel",X8*'[2]Założenia,wskaźniki, listy'!$C$45,IF(O8="gaz",X8*'[2]Założenia,wskaźniki, listy'!$D$45,IF(O8="drewno",X8*'[2]Założenia,wskaźniki, listy'!$E$45,IF(O8="pelet",X8*'[2]Założenia,wskaźniki, listy'!$F$45,IF(O8="olej opałowy",X8*'[2]Założenia,wskaźniki, listy'!$G$45,IF(O8="sieć ciepłownicza",0,IF(O8="prąd",0,0)))))))</f>
        <v>0</v>
      </c>
      <c r="AA8" s="182">
        <f>IF(O8="węgiel",X8*'[2]Założenia,wskaźniki, listy'!$C$46,IF(O8="gaz",X8*'[2]Założenia,wskaźniki, listy'!$D$46,IF(O8="drewno",X8*'[2]Założenia,wskaźniki, listy'!$E$46,IF(O8="pelet",X8*'[2]Założenia,wskaźniki, listy'!$F$46,IF(O8="olej opałowy",X8*'[2]Założenia,wskaźniki, listy'!$G$46,IF(O8="sieć ciepłownicza",0,IF(O8="prąd",0,0)))))))</f>
        <v>0</v>
      </c>
      <c r="AB8" s="182">
        <f>IF(O8="węgiel",X8*'[2]Założenia,wskaźniki, listy'!$C$47,IF(O8="gaz",X8*'[2]Założenia,wskaźniki, listy'!$D$47,IF(O8="drewno",X8*'[2]Założenia,wskaźniki, listy'!$E$47,IF(O8="pelet",X8*'[2]Założenia,wskaźniki, listy'!$F$47,IF(O8="olej opałowy",X8*'[2]Założenia,wskaźniki, listy'!$G$47,IF(O8="sieć ciepłownicza",0,IF(O8="prąd",0,0)))))))</f>
        <v>0</v>
      </c>
      <c r="AC8" s="182">
        <f>IF(O8="węgiel",X8*'[2]Założenia,wskaźniki, listy'!$C$48,IF(O8="gaz",X8*'[2]Założenia,wskaźniki, listy'!$D$48,IF(O8="drewno",X8*'[2]Założenia,wskaźniki, listy'!$E$48,IF(O8="pelet",X8*'[2]Założenia,wskaźniki, listy'!$F$48,IF(O8="olej opałowy",X8*'[2]Założenia,wskaźniki, listy'!$G$48,IF(O8="sieć ciepłownicza",0,IF(O8="prąd",0,0)))))))</f>
        <v>0</v>
      </c>
      <c r="AD8" s="182">
        <f>IF(O8="węgiel",X8*'[2]Założenia,wskaźniki, listy'!$C$49,IF(O8="gaz",X8*'[2]Założenia,wskaźniki, listy'!$D$49,IF(O8="drewno",X8*'[2]Założenia,wskaźniki, listy'!$E$49,IF(O8="pelet",X8*'[2]Założenia,wskaźniki, listy'!$F$49,IF(O8="olej opałowy",X8*'[2]Założenia,wskaźniki, listy'!$G$49,IF(O8="sieć ciepłownicza",0,IF(O8="prąd",0,0)))))))</f>
        <v>0</v>
      </c>
      <c r="AE8" s="182">
        <f>IF(O8="węgiel",X8*'[2]Założenia,wskaźniki, listy'!$C$50,IF(O8="gaz",X8*'[2]Założenia,wskaźniki, listy'!$D$50,IF(O8="drewno",X8*'[2]Założenia,wskaźniki, listy'!$E$50,IF(O8="pelet",X8*'[2]Założenia,wskaźniki, listy'!$F$50,IF(O8="olej opałowy",X8*'[2]Założenia,wskaźniki, listy'!$G$50,IF(O8="sieć ciepłownicza",0,IF(O8="prąd",0,0)))))))</f>
        <v>0</v>
      </c>
      <c r="AF8" s="182">
        <f>IF(O8="węgiel",X8*[2]Z!$C$44,IF(O8="gaz",X8*[2]Z!$D$44,IF(O8="drewno",X8*[2]Z!$E$44,IF(O8="pelet",X8*[2]Z!$F$44,IF(O8="olej opałowy",X8*[2]Z!$G$44,IF(O8="sieć ciepłownicza",0,IF(O8="prąd",0,0)))))))</f>
        <v>0</v>
      </c>
      <c r="AG8" s="182">
        <f>IF(O8="węgiel",X8*[2]Z!$C$45,IF(O8="gaz",X8*[2]Z!$D$45,IF(O8="drewno",X8*[2]Z!$E$45,IF(O8="pelet",X8*[2]Z!$F$45,IF(O8="olej opałowy",X8*[2]Z!$G$45,IF(O8="sieć ciepłownicza",0,IF(O8="prąd",0,0)))))))</f>
        <v>0</v>
      </c>
      <c r="AH8" s="182">
        <f>IF(O8="węgiel",X8*[2]Z!$C$46,IF(O8="gaz",X8*[2]Z!$D$46,IF(O8="drewno",X8*[2]Z!$E$46,IF(O8="pelet",X8*[2]Z!$F$46,IF(O8="olej opałowy",X8*[2]Z!$G$46,IF(O8="sieć ciepłownicza",0,IF(O8="prąd",0,0)))))))</f>
        <v>0</v>
      </c>
      <c r="AI8" s="182">
        <f>IF(O8="węgiel",X8*[2]Z!$C$47,IF(O8="gaz",X8*[2]Z!$D$47,IF(O8="drewno",X8*[2]Z!$E$47,IF(O8="pelet",X8*[2]Z!$F$47,IF(O8="olej opałowy",X8*[2]Z!$G$47,IF(O8="sieć ciepłownicza",0,IF(O8="prąd",0,0)))))))</f>
        <v>0</v>
      </c>
      <c r="AJ8" s="182">
        <f>IF(O8="węgiel",X8*[2]Z!$C$48,IF(O8="gaz",X8*[2]Z!$D$48,IF(O8="drewno",X8*[2]Z!$E$48,IF(O8="pelet",X8*[2]Z!$F$48,IF(O8="olej opałowy",X8*[2]Z!$G$48,IF(O8="sieć ciepłownicza",0,IF(O8="prąd",0,0)))))))</f>
        <v>0</v>
      </c>
      <c r="AK8" s="182">
        <f>IF(O8="węgiel",X8*[2]Z!$C$49,IF(O8="gaz",X8*[2]Z!$D$49,IF(O8="drewno",X8*[2]Z!$E$49,IF(O8="pelet",X8*[2]Z!$F$49,IF(O8="olej opałowy",X8*[2]Z!$G$49,IF(O8="sieć ciepłownicza",0,IF(O8="prąd",0,0)))))))</f>
        <v>0</v>
      </c>
      <c r="AL8" s="182">
        <f>IF(O8="węgiel",X8*[2]Z!$C$50,IF(O8="gaz",X8*[2]Z!$D$50,IF(O8="drewno",X8*[2]Z!$E$50,IF(O8="pelet",X8*[2]Z!$F$50,IF(O8="olej opałowy",X8*[2]Z!$G$50,IF(O8="sieć ciepłownicza",0,IF(O8="prąd",0,0)))))))</f>
        <v>0</v>
      </c>
      <c r="AM8" s="182">
        <f>IF(T8="węgiel",W8*'[2]Założenia,wskaźniki, listy'!$C$44,IF(T8="gaz",W8*'[2]Założenia,wskaźniki, listy'!$D$44,IF(T8="drewno",W8*'[2]Założenia,wskaźniki, listy'!$E$44,IF(T8="pelet",W8*'[2]Założenia,wskaźniki, listy'!$F$44,IF(T8="olej opałowy",W8*'[2]Założenia,wskaźniki, listy'!$G$44,IF(T8="sieć ciepłownicza",0,IF(T8="prąd",0,0)))))))</f>
        <v>0</v>
      </c>
      <c r="AN8" s="182">
        <f>IF(U8="węgiel",X8*'[2]Założenia,wskaźniki, listy'!$C$45,IF(U8="gaz",X8*'[2]Założenia,wskaźniki, listy'!$D$45,IF(U8="drewno",X8*'[2]Założenia,wskaźniki, listy'!$E$45,IF(U8="pelet",X8*'[2]Założenia,wskaźniki, listy'!$F$45,IF(U8="olej opałowy",X8*'[2]Założenia,wskaźniki, listy'!$G$45,IF(U8="sieć ciepłownicza",0,IF(U8="prąd",0,0)))))))</f>
        <v>0</v>
      </c>
      <c r="AO8" s="182">
        <f>IF(U8="węgiel",X8*'[2]Założenia,wskaźniki, listy'!$C$46,IF(U8="gaz",X8*'[2]Założenia,wskaźniki, listy'!$D$46,IF(U8="drewno",X8*'[2]Założenia,wskaźniki, listy'!$E$46,IF(U8="pelet",X8*'[2]Założenia,wskaźniki, listy'!$F$46,IF(U8="olej opałowy",X8*'[2]Założenia,wskaźniki, listy'!$G$46,IF(U8="sieć ciepłownicza",0,IF(U8="prąd",0,0)))))))</f>
        <v>0</v>
      </c>
      <c r="AP8" s="182">
        <f>IF(U8="węgiel",X8*'[2]Założenia,wskaźniki, listy'!$C$47,IF(U8="gaz",X8*'[2]Założenia,wskaźniki, listy'!$D$47,IF(U8="drewno",X8*'[2]Założenia,wskaźniki, listy'!$E$47,IF(U8="pelet",X8*'[2]Założenia,wskaźniki, listy'!$F$47,IF(U8="olej opałowy",X8*'[2]Założenia,wskaźniki, listy'!$G$47,IF(U8="sieć ciepłownicza",0,IF(U8="prąd",0,0)))))))</f>
        <v>0</v>
      </c>
      <c r="AQ8" s="182">
        <f>IF(U8="węgiel",X8*'[2]Założenia,wskaźniki, listy'!$C$48,IF(U8="gaz",X8*'[2]Założenia,wskaźniki, listy'!$D$48,IF(U8="drewno",X8*'[2]Założenia,wskaźniki, listy'!$E$48,IF(U8="pelet",X8*'[2]Założenia,wskaźniki, listy'!$F$48,IF(U8="olej opałowy",X8*'[2]Założenia,wskaźniki, listy'!$G$48,IF(U8="sieć ciepłownicza",0,IF(U8="prąd",0,0)))))))</f>
        <v>0</v>
      </c>
      <c r="AR8" s="182">
        <f>IF(U8="węgiel",X8*'[2]Założenia,wskaźniki, listy'!$C$49,IF(U8="gaz",X8*'[2]Założenia,wskaźniki, listy'!$D$49,IF(U8="drewno",X8*'[2]Założenia,wskaźniki, listy'!$E$49,IF(U8="pelet",X8*'[2]Założenia,wskaźniki, listy'!$F$49,IF(U8="olej opałowy",X8*'[2]Założenia,wskaźniki, listy'!$G$49,IF(U8="sieć ciepłownicza",0,IF(U8="prąd",0,0)))))))</f>
        <v>0</v>
      </c>
      <c r="AS8" s="182">
        <f>IF(U8="węgiel",X8*'[2]Założenia,wskaźniki, listy'!$C$50,IF(U8="gaz",X8*'[2]Założenia,wskaźniki, listy'!$D$50,IF(U8="drewno",X8*'[2]Założenia,wskaźniki, listy'!$E$50,IF(U8="pelet",X8*'[2]Założenia,wskaźniki, listy'!$F$50,IF(U8="olej opałowy",X8*'[2]Założenia,wskaźniki, listy'!$G$50,IF(U8="sieć ciepłownicza",0,IF(U8="prąd",0,0)))))))</f>
        <v>0</v>
      </c>
      <c r="AT8" s="182">
        <f t="shared" si="33"/>
        <v>0</v>
      </c>
      <c r="AU8" s="182"/>
      <c r="AV8" s="182">
        <f t="shared" si="30"/>
        <v>0</v>
      </c>
      <c r="AW8" s="182">
        <f t="shared" si="2"/>
        <v>0</v>
      </c>
      <c r="AX8" s="182">
        <f t="shared" si="34"/>
        <v>0</v>
      </c>
      <c r="AY8" s="182">
        <f t="shared" si="3"/>
        <v>0</v>
      </c>
      <c r="AZ8" s="182">
        <f t="shared" si="4"/>
        <v>0</v>
      </c>
      <c r="BA8" s="182">
        <f t="shared" si="5"/>
        <v>0</v>
      </c>
      <c r="BB8" s="182">
        <f t="shared" si="6"/>
        <v>0</v>
      </c>
      <c r="BC8" s="71"/>
      <c r="BD8" s="183"/>
      <c r="BE8" s="349"/>
      <c r="BF8" s="183"/>
      <c r="BG8" s="183"/>
      <c r="BH8" s="183"/>
      <c r="BI8" s="183"/>
      <c r="BJ8" s="183"/>
      <c r="BK8" s="249"/>
      <c r="BN8" s="245">
        <f t="shared" si="35"/>
        <v>0</v>
      </c>
      <c r="BO8" s="87" t="b">
        <f t="shared" si="36"/>
        <v>0</v>
      </c>
      <c r="BP8" s="87" t="b">
        <f t="shared" si="37"/>
        <v>0</v>
      </c>
      <c r="BQ8" s="87" t="b">
        <f t="shared" si="38"/>
        <v>0</v>
      </c>
      <c r="BR8" s="87" t="b">
        <f t="shared" si="39"/>
        <v>0</v>
      </c>
      <c r="BS8" s="87" t="b">
        <f t="shared" si="40"/>
        <v>0</v>
      </c>
      <c r="BT8" s="87" t="b">
        <f t="shared" si="41"/>
        <v>0</v>
      </c>
      <c r="BU8" s="87" t="b">
        <f t="shared" si="42"/>
        <v>0</v>
      </c>
      <c r="BV8" s="87" t="b">
        <f t="shared" si="43"/>
        <v>0</v>
      </c>
      <c r="BW8" s="246" t="b">
        <f t="shared" si="44"/>
        <v>0</v>
      </c>
      <c r="BX8" s="87" t="b">
        <f t="shared" si="17"/>
        <v>0</v>
      </c>
      <c r="BY8" s="87" t="b">
        <f t="shared" si="45"/>
        <v>0</v>
      </c>
      <c r="BZ8" s="87" t="b">
        <f t="shared" si="19"/>
        <v>0</v>
      </c>
      <c r="CA8" s="87" t="b">
        <f t="shared" si="20"/>
        <v>0</v>
      </c>
      <c r="CB8" s="87" t="b">
        <f t="shared" si="21"/>
        <v>0</v>
      </c>
      <c r="CC8" s="87" t="b">
        <f t="shared" si="46"/>
        <v>0</v>
      </c>
      <c r="CD8" s="245" t="b">
        <f t="shared" si="23"/>
        <v>0</v>
      </c>
      <c r="CE8" s="87" t="b">
        <f t="shared" si="24"/>
        <v>0</v>
      </c>
      <c r="CF8" s="87" t="b">
        <f t="shared" si="25"/>
        <v>0</v>
      </c>
      <c r="CG8" s="87" t="b">
        <f t="shared" si="26"/>
        <v>0</v>
      </c>
      <c r="CH8" s="87" t="b">
        <f t="shared" si="27"/>
        <v>0</v>
      </c>
      <c r="CI8" s="246" t="b">
        <f t="shared" si="28"/>
        <v>0</v>
      </c>
    </row>
    <row r="9" spans="1:89" s="236" customFormat="1" ht="24" hidden="1" customHeight="1">
      <c r="A9" s="360">
        <v>5</v>
      </c>
      <c r="B9" s="234">
        <f>SUM($C9:C$12)</f>
        <v>0</v>
      </c>
      <c r="C9" s="347" t="b">
        <f t="shared" ref="C9" si="47">IF(ISTEXT(D9),1)</f>
        <v>0</v>
      </c>
      <c r="D9" s="396"/>
      <c r="E9" s="234"/>
      <c r="F9" s="234"/>
      <c r="G9" s="234"/>
      <c r="H9" s="71"/>
      <c r="I9" s="71"/>
      <c r="J9" s="71"/>
      <c r="K9" s="71"/>
      <c r="L9" s="71"/>
      <c r="M9" s="71"/>
      <c r="N9" s="71"/>
      <c r="O9" s="398"/>
      <c r="P9" s="231"/>
      <c r="Q9" s="232"/>
      <c r="R9" s="232"/>
      <c r="S9" s="232"/>
      <c r="T9" s="231"/>
      <c r="U9" s="354">
        <f t="shared" si="32"/>
        <v>0</v>
      </c>
      <c r="V9" s="355">
        <f>IF(N9="kompletna",M9*G9*0.0036*'[2]Założenia,wskaźniki, listy'!$H$13,IF(N9="częściowa",M9*G9*0.0036*'[2]Założenia,wskaźniki, listy'!$H$14,IF(N9="brak",M9*G9*0.0036*'[2]Założenia,wskaźniki, listy'!$H$15,0)))</f>
        <v>0</v>
      </c>
      <c r="W9" s="182">
        <f>K9*'[3]Założenia,wskaźniki, listy'!$L$16</f>
        <v>0</v>
      </c>
      <c r="X9" s="182">
        <f>IF(O9="węgiel",P9*'[3]Założenia,wskaźniki, listy'!$B$4,IF(O9="gaz",P9*'[3]Założenia,wskaźniki, listy'!$B$5,IF(O9="drewno",P9*'[3]Założenia,wskaźniki, listy'!$B$6,IF(O9="pelet",P9*'[3]Założenia,wskaźniki, listy'!$B$7,IF(O9="olej opałowy",P9*'[3]Założenia,wskaźniki, listy'!$B$8,IF(O9="sieć ciepłownicza",0,0))))))</f>
        <v>0</v>
      </c>
      <c r="Y9" s="182">
        <f>IF(O9="węgiel",X9*'[2]Założenia,wskaźniki, listy'!$C$44,IF(O9="gaz",X9*'[2]Założenia,wskaźniki, listy'!$D$44,IF(O9="drewno",X9*'[2]Założenia,wskaźniki, listy'!$E$44,IF(O9="pelet",X9*'[2]Założenia,wskaźniki, listy'!$F$44,IF(O9="olej opałowy",X9*'[2]Założenia,wskaźniki, listy'!$G$44,IF(O9="sieć ciepłownicza",0,IF(O9="prąd",0,0)))))))</f>
        <v>0</v>
      </c>
      <c r="Z9" s="182">
        <f>IF(O9="węgiel",X9*'[2]Założenia,wskaźniki, listy'!$C$45,IF(O9="gaz",X9*'[2]Założenia,wskaźniki, listy'!$D$45,IF(O9="drewno",X9*'[2]Założenia,wskaźniki, listy'!$E$45,IF(O9="pelet",X9*'[2]Założenia,wskaźniki, listy'!$F$45,IF(O9="olej opałowy",X9*'[2]Założenia,wskaźniki, listy'!$G$45,IF(O9="sieć ciepłownicza",0,IF(O9="prąd",0,0)))))))</f>
        <v>0</v>
      </c>
      <c r="AA9" s="182">
        <f>IF(O9="węgiel",X9*'[2]Założenia,wskaźniki, listy'!$C$46,IF(O9="gaz",X9*'[2]Założenia,wskaźniki, listy'!$D$46,IF(O9="drewno",X9*'[2]Założenia,wskaźniki, listy'!$E$46,IF(O9="pelet",X9*'[2]Założenia,wskaźniki, listy'!$F$46,IF(O9="olej opałowy",X9*'[2]Założenia,wskaźniki, listy'!$G$46,IF(O9="sieć ciepłownicza",0,IF(O9="prąd",0,0)))))))</f>
        <v>0</v>
      </c>
      <c r="AB9" s="182">
        <f>IF(O9="węgiel",X9*'[2]Założenia,wskaźniki, listy'!$C$47,IF(O9="gaz",X9*'[2]Założenia,wskaźniki, listy'!$D$47,IF(O9="drewno",X9*'[2]Założenia,wskaźniki, listy'!$E$47,IF(O9="pelet",X9*'[2]Założenia,wskaźniki, listy'!$F$47,IF(O9="olej opałowy",X9*'[2]Założenia,wskaźniki, listy'!$G$47,IF(O9="sieć ciepłownicza",0,IF(O9="prąd",0,0)))))))</f>
        <v>0</v>
      </c>
      <c r="AC9" s="182">
        <f>IF(O9="węgiel",X9*'[2]Założenia,wskaźniki, listy'!$C$48,IF(O9="gaz",X9*'[2]Założenia,wskaźniki, listy'!$D$48,IF(O9="drewno",X9*'[2]Założenia,wskaźniki, listy'!$E$48,IF(O9="pelet",X9*'[2]Założenia,wskaźniki, listy'!$F$48,IF(O9="olej opałowy",X9*'[2]Założenia,wskaźniki, listy'!$G$48,IF(O9="sieć ciepłownicza",0,IF(O9="prąd",0,0)))))))</f>
        <v>0</v>
      </c>
      <c r="AD9" s="182">
        <f>IF(O9="węgiel",X9*'[2]Założenia,wskaźniki, listy'!$C$49,IF(O9="gaz",X9*'[2]Założenia,wskaźniki, listy'!$D$49,IF(O9="drewno",X9*'[2]Założenia,wskaźniki, listy'!$E$49,IF(O9="pelet",X9*'[2]Założenia,wskaźniki, listy'!$F$49,IF(O9="olej opałowy",X9*'[2]Założenia,wskaźniki, listy'!$G$49,IF(O9="sieć ciepłownicza",0,IF(O9="prąd",0,0)))))))</f>
        <v>0</v>
      </c>
      <c r="AE9" s="182">
        <f>IF(O9="węgiel",X9*'[2]Założenia,wskaźniki, listy'!$C$50,IF(O9="gaz",X9*'[2]Założenia,wskaźniki, listy'!$D$50,IF(O9="drewno",X9*'[2]Założenia,wskaźniki, listy'!$E$50,IF(O9="pelet",X9*'[2]Założenia,wskaźniki, listy'!$F$50,IF(O9="olej opałowy",X9*'[2]Założenia,wskaźniki, listy'!$G$50,IF(O9="sieć ciepłownicza",0,IF(O9="prąd",0,0)))))))</f>
        <v>0</v>
      </c>
      <c r="AF9" s="182">
        <f>IF(O9="węgiel",X9*[2]Z!$C$44,IF(O9="gaz",X9*[2]Z!$D$44,IF(O9="drewno",X9*[2]Z!$E$44,IF(O9="pelet",X9*[2]Z!$F$44,IF(O9="olej opałowy",X9*[2]Z!$G$44,IF(O9="sieć ciepłownicza",0,IF(O9="prąd",0,0)))))))</f>
        <v>0</v>
      </c>
      <c r="AG9" s="182">
        <f>IF(O9="węgiel",X9*[2]Z!$C$45,IF(O9="gaz",X9*[2]Z!$D$45,IF(O9="drewno",X9*[2]Z!$E$45,IF(O9="pelet",X9*[2]Z!$F$45,IF(O9="olej opałowy",X9*[2]Z!$G$45,IF(O9="sieć ciepłownicza",0,IF(O9="prąd",0,0)))))))</f>
        <v>0</v>
      </c>
      <c r="AH9" s="182">
        <f>IF(O9="węgiel",X9*[2]Z!$C$46,IF(O9="gaz",X9*[2]Z!$D$46,IF(O9="drewno",X9*[2]Z!$E$46,IF(O9="pelet",X9*[2]Z!$F$46,IF(O9="olej opałowy",X9*[2]Z!$G$46,IF(O9="sieć ciepłownicza",0,IF(O9="prąd",0,0)))))))</f>
        <v>0</v>
      </c>
      <c r="AI9" s="182">
        <f>IF(O9="węgiel",X9*[2]Z!$C$47,IF(O9="gaz",X9*[2]Z!$D$47,IF(O9="drewno",X9*[2]Z!$E$47,IF(O9="pelet",X9*[2]Z!$F$47,IF(O9="olej opałowy",X9*[2]Z!$G$47,IF(O9="sieć ciepłownicza",0,IF(O9="prąd",0,0)))))))</f>
        <v>0</v>
      </c>
      <c r="AJ9" s="182">
        <f>IF(O9="węgiel",X9*[2]Z!$C$48,IF(O9="gaz",X9*[2]Z!$D$48,IF(O9="drewno",X9*[2]Z!$E$48,IF(O9="pelet",X9*[2]Z!$F$48,IF(O9="olej opałowy",X9*[2]Z!$G$48,IF(O9="sieć ciepłownicza",0,IF(O9="prąd",0,0)))))))</f>
        <v>0</v>
      </c>
      <c r="AK9" s="182">
        <f>IF(O9="węgiel",X9*[2]Z!$C$49,IF(O9="gaz",X9*[2]Z!$D$49,IF(O9="drewno",X9*[2]Z!$E$49,IF(O9="pelet",X9*[2]Z!$F$49,IF(O9="olej opałowy",X9*[2]Z!$G$49,IF(O9="sieć ciepłownicza",0,IF(O9="prąd",0,0)))))))</f>
        <v>0</v>
      </c>
      <c r="AL9" s="182">
        <f>IF(O9="węgiel",X9*[2]Z!$C$50,IF(O9="gaz",X9*[2]Z!$D$50,IF(O9="drewno",X9*[2]Z!$E$50,IF(O9="pelet",X9*[2]Z!$F$50,IF(O9="olej opałowy",X9*[2]Z!$G$50,IF(O9="sieć ciepłownicza",0,IF(O9="prąd",0,0)))))))</f>
        <v>0</v>
      </c>
      <c r="AM9" s="182">
        <f>IF(T9="węgiel",W9*'[2]Założenia,wskaźniki, listy'!$C$44,IF(T9="gaz",W9*'[2]Założenia,wskaźniki, listy'!$D$44,IF(T9="drewno",W9*'[2]Założenia,wskaźniki, listy'!$E$44,IF(T9="pelet",W9*'[2]Założenia,wskaźniki, listy'!$F$44,IF(T9="olej opałowy",W9*'[2]Założenia,wskaźniki, listy'!$G$44,IF(T9="sieć ciepłownicza",0,IF(T9="prąd",0,0)))))))</f>
        <v>0</v>
      </c>
      <c r="AN9" s="182">
        <f>IF(U9="węgiel",X9*'[2]Założenia,wskaźniki, listy'!$C$45,IF(U9="gaz",X9*'[2]Założenia,wskaźniki, listy'!$D$45,IF(U9="drewno",X9*'[2]Założenia,wskaźniki, listy'!$E$45,IF(U9="pelet",X9*'[2]Założenia,wskaźniki, listy'!$F$45,IF(U9="olej opałowy",X9*'[2]Założenia,wskaźniki, listy'!$G$45,IF(U9="sieć ciepłownicza",0,IF(U9="prąd",0,0)))))))</f>
        <v>0</v>
      </c>
      <c r="AO9" s="182">
        <f>IF(U9="węgiel",X9*'[2]Założenia,wskaźniki, listy'!$C$46,IF(U9="gaz",X9*'[2]Założenia,wskaźniki, listy'!$D$46,IF(U9="drewno",X9*'[2]Założenia,wskaźniki, listy'!$E$46,IF(U9="pelet",X9*'[2]Założenia,wskaźniki, listy'!$F$46,IF(U9="olej opałowy",X9*'[2]Założenia,wskaźniki, listy'!$G$46,IF(U9="sieć ciepłownicza",0,IF(U9="prąd",0,0)))))))</f>
        <v>0</v>
      </c>
      <c r="AP9" s="182">
        <f>IF(U9="węgiel",X9*'[2]Założenia,wskaźniki, listy'!$C$47,IF(U9="gaz",X9*'[2]Założenia,wskaźniki, listy'!$D$47,IF(U9="drewno",X9*'[2]Założenia,wskaźniki, listy'!$E$47,IF(U9="pelet",X9*'[2]Założenia,wskaźniki, listy'!$F$47,IF(U9="olej opałowy",X9*'[2]Założenia,wskaźniki, listy'!$G$47,IF(U9="sieć ciepłownicza",0,IF(U9="prąd",0,0)))))))</f>
        <v>0</v>
      </c>
      <c r="AQ9" s="182">
        <f>IF(U9="węgiel",X9*'[2]Założenia,wskaźniki, listy'!$C$48,IF(U9="gaz",X9*'[2]Założenia,wskaźniki, listy'!$D$48,IF(U9="drewno",X9*'[2]Założenia,wskaźniki, listy'!$E$48,IF(U9="pelet",X9*'[2]Założenia,wskaźniki, listy'!$F$48,IF(U9="olej opałowy",X9*'[2]Założenia,wskaźniki, listy'!$G$48,IF(U9="sieć ciepłownicza",0,IF(U9="prąd",0,0)))))))</f>
        <v>0</v>
      </c>
      <c r="AR9" s="182">
        <f>IF(U9="węgiel",X9*'[2]Założenia,wskaźniki, listy'!$C$49,IF(U9="gaz",X9*'[2]Założenia,wskaźniki, listy'!$D$49,IF(U9="drewno",X9*'[2]Założenia,wskaźniki, listy'!$E$49,IF(U9="pelet",X9*'[2]Założenia,wskaźniki, listy'!$F$49,IF(U9="olej opałowy",X9*'[2]Założenia,wskaźniki, listy'!$G$49,IF(U9="sieć ciepłownicza",0,IF(U9="prąd",0,0)))))))</f>
        <v>0</v>
      </c>
      <c r="AS9" s="182">
        <f>IF(U9="węgiel",X9*'[2]Założenia,wskaźniki, listy'!$C$50,IF(U9="gaz",X9*'[2]Założenia,wskaźniki, listy'!$D$50,IF(U9="drewno",X9*'[2]Założenia,wskaźniki, listy'!$E$50,IF(U9="pelet",X9*'[2]Założenia,wskaźniki, listy'!$F$50,IF(U9="olej opałowy",X9*'[2]Założenia,wskaźniki, listy'!$G$50,IF(U9="sieć ciepłownicza",0,IF(U9="prąd",0,0)))))))</f>
        <v>0</v>
      </c>
      <c r="AT9" s="182">
        <f t="shared" si="33"/>
        <v>0</v>
      </c>
      <c r="AU9" s="182"/>
      <c r="AV9" s="182">
        <f t="shared" si="30"/>
        <v>0</v>
      </c>
      <c r="AW9" s="182">
        <f t="shared" si="2"/>
        <v>0</v>
      </c>
      <c r="AX9" s="182">
        <f t="shared" si="34"/>
        <v>0</v>
      </c>
      <c r="AY9" s="182">
        <f t="shared" si="3"/>
        <v>0</v>
      </c>
      <c r="AZ9" s="182">
        <f t="shared" si="4"/>
        <v>0</v>
      </c>
      <c r="BA9" s="182">
        <f t="shared" si="5"/>
        <v>0</v>
      </c>
      <c r="BB9" s="182">
        <f t="shared" si="6"/>
        <v>0</v>
      </c>
      <c r="BC9" s="71"/>
      <c r="BD9" s="183"/>
      <c r="BE9" s="349"/>
      <c r="BF9" s="183"/>
      <c r="BG9" s="183"/>
      <c r="BH9" s="183"/>
      <c r="BI9" s="183"/>
      <c r="BJ9" s="183"/>
      <c r="BK9" s="249"/>
      <c r="BN9" s="245">
        <f t="shared" si="35"/>
        <v>0</v>
      </c>
      <c r="BO9" s="87" t="b">
        <f t="shared" si="36"/>
        <v>0</v>
      </c>
      <c r="BP9" s="87" t="b">
        <f t="shared" si="37"/>
        <v>0</v>
      </c>
      <c r="BQ9" s="87" t="b">
        <f t="shared" si="38"/>
        <v>0</v>
      </c>
      <c r="BR9" s="87" t="b">
        <f t="shared" si="39"/>
        <v>0</v>
      </c>
      <c r="BS9" s="87" t="b">
        <f t="shared" si="40"/>
        <v>0</v>
      </c>
      <c r="BT9" s="87" t="b">
        <f t="shared" si="41"/>
        <v>0</v>
      </c>
      <c r="BU9" s="87" t="b">
        <f t="shared" si="42"/>
        <v>0</v>
      </c>
      <c r="BV9" s="87" t="b">
        <f t="shared" si="43"/>
        <v>0</v>
      </c>
      <c r="BW9" s="246" t="b">
        <f t="shared" si="44"/>
        <v>0</v>
      </c>
      <c r="BX9" s="87" t="b">
        <f t="shared" si="17"/>
        <v>0</v>
      </c>
      <c r="BY9" s="87" t="b">
        <f t="shared" si="45"/>
        <v>0</v>
      </c>
      <c r="BZ9" s="87" t="b">
        <f t="shared" si="19"/>
        <v>0</v>
      </c>
      <c r="CA9" s="87" t="b">
        <f t="shared" si="20"/>
        <v>0</v>
      </c>
      <c r="CB9" s="87" t="b">
        <f t="shared" si="21"/>
        <v>0</v>
      </c>
      <c r="CC9" s="87" t="b">
        <f t="shared" si="46"/>
        <v>0</v>
      </c>
      <c r="CD9" s="245" t="b">
        <f t="shared" si="23"/>
        <v>0</v>
      </c>
      <c r="CE9" s="87" t="b">
        <f t="shared" si="24"/>
        <v>0</v>
      </c>
      <c r="CF9" s="87" t="b">
        <f t="shared" si="25"/>
        <v>0</v>
      </c>
      <c r="CG9" s="87" t="b">
        <f t="shared" si="26"/>
        <v>0</v>
      </c>
      <c r="CH9" s="87" t="b">
        <f t="shared" si="27"/>
        <v>0</v>
      </c>
      <c r="CI9" s="246" t="b">
        <f t="shared" si="28"/>
        <v>0</v>
      </c>
    </row>
    <row r="10" spans="1:89" s="236" customFormat="1" ht="26.25" hidden="1" customHeight="1">
      <c r="A10" s="360">
        <v>6</v>
      </c>
      <c r="B10" s="234">
        <f>SUM($C10:C$12)</f>
        <v>0</v>
      </c>
      <c r="C10" s="347" t="b">
        <f t="shared" si="1"/>
        <v>0</v>
      </c>
      <c r="D10" s="396"/>
      <c r="E10" s="234"/>
      <c r="F10" s="234"/>
      <c r="G10" s="234"/>
      <c r="H10" s="71"/>
      <c r="I10" s="71"/>
      <c r="J10" s="71"/>
      <c r="K10" s="71"/>
      <c r="L10" s="71"/>
      <c r="M10" s="71"/>
      <c r="N10" s="71"/>
      <c r="O10" s="398"/>
      <c r="P10" s="231"/>
      <c r="Q10" s="232"/>
      <c r="R10" s="232"/>
      <c r="S10" s="232"/>
      <c r="T10" s="231"/>
      <c r="U10" s="354">
        <f t="shared" si="32"/>
        <v>0</v>
      </c>
      <c r="V10" s="355">
        <f>IF(N10="kompletna",M10*G10*0.0036*'[2]Założenia,wskaźniki, listy'!$H$13,IF(N10="częściowa",M10*G10*0.0036*'[2]Założenia,wskaźniki, listy'!$H$14,IF(N10="brak",M10*G10*0.0036*'[2]Założenia,wskaźniki, listy'!$H$15,0)))</f>
        <v>0</v>
      </c>
      <c r="W10" s="182">
        <f>K10*'[3]Założenia,wskaźniki, listy'!$L$16</f>
        <v>0</v>
      </c>
      <c r="X10" s="182">
        <f>IF(O10="węgiel",P10*'[3]Założenia,wskaźniki, listy'!$B$4,IF(O10="gaz",P10*'[3]Założenia,wskaźniki, listy'!$B$5,IF(O10="drewno",P10*'[3]Założenia,wskaźniki, listy'!$B$6,IF(O10="pelet",P10*'[3]Założenia,wskaźniki, listy'!$B$7,IF(O10="olej opałowy",P10*'[3]Założenia,wskaźniki, listy'!$B$8,IF(O10="sieć ciepłownicza",0,0))))))</f>
        <v>0</v>
      </c>
      <c r="Y10" s="182">
        <f>IF(O10="węgiel",X10*'[2]Założenia,wskaźniki, listy'!$C$44,IF(O10="gaz",X10*'[2]Założenia,wskaźniki, listy'!$D$44,IF(O10="drewno",X10*'[2]Założenia,wskaźniki, listy'!$E$44,IF(O10="pelet",X10*'[2]Założenia,wskaźniki, listy'!$F$44,IF(O10="olej opałowy",X10*'[2]Założenia,wskaźniki, listy'!$G$44,IF(O10="sieć ciepłownicza",0,IF(O10="prąd",0,0)))))))</f>
        <v>0</v>
      </c>
      <c r="Z10" s="182">
        <f>IF(O10="węgiel",X10*'[2]Założenia,wskaźniki, listy'!$C$45,IF(O10="gaz",X10*'[2]Założenia,wskaźniki, listy'!$D$45,IF(O10="drewno",X10*'[2]Założenia,wskaźniki, listy'!$E$45,IF(O10="pelet",X10*'[2]Założenia,wskaźniki, listy'!$F$45,IF(O10="olej opałowy",X10*'[2]Założenia,wskaźniki, listy'!$G$45,IF(O10="sieć ciepłownicza",0,IF(O10="prąd",0,0)))))))</f>
        <v>0</v>
      </c>
      <c r="AA10" s="182">
        <f>IF(O10="węgiel",X10*'[2]Założenia,wskaźniki, listy'!$C$46,IF(O10="gaz",X10*'[2]Założenia,wskaźniki, listy'!$D$46,IF(O10="drewno",X10*'[2]Założenia,wskaźniki, listy'!$E$46,IF(O10="pelet",X10*'[2]Założenia,wskaźniki, listy'!$F$46,IF(O10="olej opałowy",X10*'[2]Założenia,wskaźniki, listy'!$G$46,IF(O10="sieć ciepłownicza",0,IF(O10="prąd",0,0)))))))</f>
        <v>0</v>
      </c>
      <c r="AB10" s="182">
        <f>IF(O10="węgiel",X10*'[2]Założenia,wskaźniki, listy'!$C$47,IF(O10="gaz",X10*'[2]Założenia,wskaźniki, listy'!$D$47,IF(O10="drewno",X10*'[2]Założenia,wskaźniki, listy'!$E$47,IF(O10="pelet",X10*'[2]Założenia,wskaźniki, listy'!$F$47,IF(O10="olej opałowy",X10*'[2]Założenia,wskaźniki, listy'!$G$47,IF(O10="sieć ciepłownicza",0,IF(O10="prąd",0,0)))))))</f>
        <v>0</v>
      </c>
      <c r="AC10" s="182">
        <f>IF(O10="węgiel",X10*'[2]Założenia,wskaźniki, listy'!$C$48,IF(O10="gaz",X10*'[2]Założenia,wskaźniki, listy'!$D$48,IF(O10="drewno",X10*'[2]Założenia,wskaźniki, listy'!$E$48,IF(O10="pelet",X10*'[2]Założenia,wskaźniki, listy'!$F$48,IF(O10="olej opałowy",X10*'[2]Założenia,wskaźniki, listy'!$G$48,IF(O10="sieć ciepłownicza",0,IF(O10="prąd",0,0)))))))</f>
        <v>0</v>
      </c>
      <c r="AD10" s="182">
        <f>IF(O10="węgiel",X10*'[2]Założenia,wskaźniki, listy'!$C$49,IF(O10="gaz",X10*'[2]Założenia,wskaźniki, listy'!$D$49,IF(O10="drewno",X10*'[2]Założenia,wskaźniki, listy'!$E$49,IF(O10="pelet",X10*'[2]Założenia,wskaźniki, listy'!$F$49,IF(O10="olej opałowy",X10*'[2]Założenia,wskaźniki, listy'!$G$49,IF(O10="sieć ciepłownicza",0,IF(O10="prąd",0,0)))))))</f>
        <v>0</v>
      </c>
      <c r="AE10" s="182">
        <f>IF(O10="węgiel",X10*'[2]Założenia,wskaźniki, listy'!$C$50,IF(O10="gaz",X10*'[2]Założenia,wskaźniki, listy'!$D$50,IF(O10="drewno",X10*'[2]Założenia,wskaźniki, listy'!$E$50,IF(O10="pelet",X10*'[2]Założenia,wskaźniki, listy'!$F$50,IF(O10="olej opałowy",X10*'[2]Założenia,wskaźniki, listy'!$G$50,IF(O10="sieć ciepłownicza",0,IF(O10="prąd",0,0)))))))</f>
        <v>0</v>
      </c>
      <c r="AF10" s="182">
        <f>IF(O10="węgiel",X10*[2]Z!$C$44,IF(O10="gaz",X10*[2]Z!$D$44,IF(O10="drewno",X10*[2]Z!$E$44,IF(O10="pelet",X10*[2]Z!$F$44,IF(O10="olej opałowy",X10*[2]Z!$G$44,IF(O10="sieć ciepłownicza",0,IF(O10="prąd",0,0)))))))</f>
        <v>0</v>
      </c>
      <c r="AG10" s="182">
        <f>IF(O10="węgiel",X10*[2]Z!$C$45,IF(O10="gaz",X10*[2]Z!$D$45,IF(O10="drewno",X10*[2]Z!$E$45,IF(O10="pelet",X10*[2]Z!$F$45,IF(O10="olej opałowy",X10*[2]Z!$G$45,IF(O10="sieć ciepłownicza",0,IF(O10="prąd",0,0)))))))</f>
        <v>0</v>
      </c>
      <c r="AH10" s="182">
        <f>IF(O10="węgiel",X10*[2]Z!$C$46,IF(O10="gaz",X10*[2]Z!$D$46,IF(O10="drewno",X10*[2]Z!$E$46,IF(O10="pelet",X10*[2]Z!$F$46,IF(O10="olej opałowy",X10*[2]Z!$G$46,IF(O10="sieć ciepłownicza",0,IF(O10="prąd",0,0)))))))</f>
        <v>0</v>
      </c>
      <c r="AI10" s="182">
        <f>IF(O10="węgiel",X10*[2]Z!$C$47,IF(O10="gaz",X10*[2]Z!$D$47,IF(O10="drewno",X10*[2]Z!$E$47,IF(O10="pelet",X10*[2]Z!$F$47,IF(O10="olej opałowy",X10*[2]Z!$G$47,IF(O10="sieć ciepłownicza",0,IF(O10="prąd",0,0)))))))</f>
        <v>0</v>
      </c>
      <c r="AJ10" s="182">
        <f>IF(O10="węgiel",X10*[2]Z!$C$48,IF(O10="gaz",X10*[2]Z!$D$48,IF(O10="drewno",X10*[2]Z!$E$48,IF(O10="pelet",X10*[2]Z!$F$48,IF(O10="olej opałowy",X10*[2]Z!$G$48,IF(O10="sieć ciepłownicza",0,IF(O10="prąd",0,0)))))))</f>
        <v>0</v>
      </c>
      <c r="AK10" s="182">
        <f>IF(O10="węgiel",X10*[2]Z!$C$49,IF(O10="gaz",X10*[2]Z!$D$49,IF(O10="drewno",X10*[2]Z!$E$49,IF(O10="pelet",X10*[2]Z!$F$49,IF(O10="olej opałowy",X10*[2]Z!$G$49,IF(O10="sieć ciepłownicza",0,IF(O10="prąd",0,0)))))))</f>
        <v>0</v>
      </c>
      <c r="AL10" s="182">
        <f>IF(O10="węgiel",X10*[2]Z!$C$50,IF(O10="gaz",X10*[2]Z!$D$50,IF(O10="drewno",X10*[2]Z!$E$50,IF(O10="pelet",X10*[2]Z!$F$50,IF(O10="olej opałowy",X10*[2]Z!$G$50,IF(O10="sieć ciepłownicza",0,IF(O10="prąd",0,0)))))))</f>
        <v>0</v>
      </c>
      <c r="AM10" s="182">
        <f>IF(T10="węgiel",W10*'[2]Założenia,wskaźniki, listy'!$C$44,IF(T10="gaz",W10*'[2]Założenia,wskaźniki, listy'!$D$44,IF(T10="drewno",W10*'[2]Założenia,wskaźniki, listy'!$E$44,IF(T10="pelet",W10*'[2]Założenia,wskaźniki, listy'!$F$44,IF(T10="olej opałowy",W10*'[2]Założenia,wskaźniki, listy'!$G$44,IF(T10="sieć ciepłownicza",0,IF(T10="prąd",0,0)))))))</f>
        <v>0</v>
      </c>
      <c r="AN10" s="182">
        <f>IF(U10="węgiel",X10*'[2]Założenia,wskaźniki, listy'!$C$45,IF(U10="gaz",X10*'[2]Założenia,wskaźniki, listy'!$D$45,IF(U10="drewno",X10*'[2]Założenia,wskaźniki, listy'!$E$45,IF(U10="pelet",X10*'[2]Założenia,wskaźniki, listy'!$F$45,IF(U10="olej opałowy",X10*'[2]Założenia,wskaźniki, listy'!$G$45,IF(U10="sieć ciepłownicza",0,IF(U10="prąd",0,0)))))))</f>
        <v>0</v>
      </c>
      <c r="AO10" s="182">
        <f>IF(U10="węgiel",X10*'[2]Założenia,wskaźniki, listy'!$C$46,IF(U10="gaz",X10*'[2]Założenia,wskaźniki, listy'!$D$46,IF(U10="drewno",X10*'[2]Założenia,wskaźniki, listy'!$E$46,IF(U10="pelet",X10*'[2]Założenia,wskaźniki, listy'!$F$46,IF(U10="olej opałowy",X10*'[2]Założenia,wskaźniki, listy'!$G$46,IF(U10="sieć ciepłownicza",0,IF(U10="prąd",0,0)))))))</f>
        <v>0</v>
      </c>
      <c r="AP10" s="182">
        <f>IF(U10="węgiel",X10*'[2]Założenia,wskaźniki, listy'!$C$47,IF(U10="gaz",X10*'[2]Założenia,wskaźniki, listy'!$D$47,IF(U10="drewno",X10*'[2]Założenia,wskaźniki, listy'!$E$47,IF(U10="pelet",X10*'[2]Założenia,wskaźniki, listy'!$F$47,IF(U10="olej opałowy",X10*'[2]Założenia,wskaźniki, listy'!$G$47,IF(U10="sieć ciepłownicza",0,IF(U10="prąd",0,0)))))))</f>
        <v>0</v>
      </c>
      <c r="AQ10" s="182">
        <f>IF(U10="węgiel",X10*'[2]Założenia,wskaźniki, listy'!$C$48,IF(U10="gaz",X10*'[2]Założenia,wskaźniki, listy'!$D$48,IF(U10="drewno",X10*'[2]Założenia,wskaźniki, listy'!$E$48,IF(U10="pelet",X10*'[2]Założenia,wskaźniki, listy'!$F$48,IF(U10="olej opałowy",X10*'[2]Założenia,wskaźniki, listy'!$G$48,IF(U10="sieć ciepłownicza",0,IF(U10="prąd",0,0)))))))</f>
        <v>0</v>
      </c>
      <c r="AR10" s="182">
        <f>IF(U10="węgiel",X10*'[2]Założenia,wskaźniki, listy'!$C$49,IF(U10="gaz",X10*'[2]Założenia,wskaźniki, listy'!$D$49,IF(U10="drewno",X10*'[2]Założenia,wskaźniki, listy'!$E$49,IF(U10="pelet",X10*'[2]Założenia,wskaźniki, listy'!$F$49,IF(U10="olej opałowy",X10*'[2]Założenia,wskaźniki, listy'!$G$49,IF(U10="sieć ciepłownicza",0,IF(U10="prąd",0,0)))))))</f>
        <v>0</v>
      </c>
      <c r="AS10" s="182">
        <f>IF(U10="węgiel",X10*'[2]Założenia,wskaźniki, listy'!$C$50,IF(U10="gaz",X10*'[2]Założenia,wskaźniki, listy'!$D$50,IF(U10="drewno",X10*'[2]Założenia,wskaźniki, listy'!$E$50,IF(U10="pelet",X10*'[2]Założenia,wskaźniki, listy'!$F$50,IF(U10="olej opałowy",X10*'[2]Założenia,wskaźniki, listy'!$G$50,IF(U10="sieć ciepłownicza",0,IF(U10="prąd",0,0)))))))</f>
        <v>0</v>
      </c>
      <c r="AT10" s="182">
        <f t="shared" si="29"/>
        <v>0</v>
      </c>
      <c r="AU10" s="182"/>
      <c r="AV10" s="182">
        <f t="shared" si="30"/>
        <v>0</v>
      </c>
      <c r="AW10" s="182">
        <f t="shared" si="2"/>
        <v>0</v>
      </c>
      <c r="AX10" s="182">
        <f t="shared" si="34"/>
        <v>0</v>
      </c>
      <c r="AY10" s="182">
        <f t="shared" si="3"/>
        <v>0</v>
      </c>
      <c r="AZ10" s="182">
        <f t="shared" si="4"/>
        <v>0</v>
      </c>
      <c r="BA10" s="182">
        <f t="shared" si="5"/>
        <v>0</v>
      </c>
      <c r="BB10" s="182">
        <f t="shared" si="6"/>
        <v>0</v>
      </c>
      <c r="BC10" s="71"/>
      <c r="BD10" s="183"/>
      <c r="BE10" s="349"/>
      <c r="BF10" s="183"/>
      <c r="BG10" s="183"/>
      <c r="BH10" s="183"/>
      <c r="BI10" s="183"/>
      <c r="BJ10" s="183"/>
      <c r="BK10" s="249"/>
      <c r="BN10" s="245">
        <f t="shared" si="7"/>
        <v>0</v>
      </c>
      <c r="BO10" s="87" t="b">
        <f t="shared" si="8"/>
        <v>0</v>
      </c>
      <c r="BP10" s="87" t="b">
        <f t="shared" si="9"/>
        <v>0</v>
      </c>
      <c r="BQ10" s="87" t="b">
        <f t="shared" si="10"/>
        <v>0</v>
      </c>
      <c r="BR10" s="87" t="b">
        <f t="shared" si="11"/>
        <v>0</v>
      </c>
      <c r="BS10" s="87" t="b">
        <f t="shared" si="12"/>
        <v>0</v>
      </c>
      <c r="BT10" s="87" t="b">
        <f t="shared" si="13"/>
        <v>0</v>
      </c>
      <c r="BU10" s="87" t="b">
        <f t="shared" si="14"/>
        <v>0</v>
      </c>
      <c r="BV10" s="87" t="b">
        <f t="shared" si="15"/>
        <v>0</v>
      </c>
      <c r="BW10" s="246" t="b">
        <f t="shared" si="16"/>
        <v>0</v>
      </c>
      <c r="BX10" s="87" t="b">
        <f t="shared" si="17"/>
        <v>0</v>
      </c>
      <c r="BY10" s="87" t="b">
        <f t="shared" si="18"/>
        <v>0</v>
      </c>
      <c r="BZ10" s="87" t="b">
        <f t="shared" si="19"/>
        <v>0</v>
      </c>
      <c r="CA10" s="87" t="b">
        <f t="shared" si="20"/>
        <v>0</v>
      </c>
      <c r="CB10" s="87" t="b">
        <f t="shared" si="21"/>
        <v>0</v>
      </c>
      <c r="CC10" s="87" t="b">
        <f t="shared" si="22"/>
        <v>0</v>
      </c>
      <c r="CD10" s="245" t="b">
        <f t="shared" si="23"/>
        <v>0</v>
      </c>
      <c r="CE10" s="87" t="b">
        <f t="shared" si="24"/>
        <v>0</v>
      </c>
      <c r="CF10" s="87" t="b">
        <f t="shared" si="25"/>
        <v>0</v>
      </c>
      <c r="CG10" s="87" t="b">
        <f t="shared" si="26"/>
        <v>0</v>
      </c>
      <c r="CH10" s="87" t="b">
        <f t="shared" si="27"/>
        <v>0</v>
      </c>
      <c r="CI10" s="246" t="b">
        <f t="shared" si="28"/>
        <v>0</v>
      </c>
    </row>
    <row r="11" spans="1:89" s="236" customFormat="1" hidden="1">
      <c r="A11" s="358">
        <v>7</v>
      </c>
      <c r="B11" s="233"/>
      <c r="C11" s="247" t="b">
        <f t="shared" si="1"/>
        <v>0</v>
      </c>
      <c r="D11" s="359"/>
      <c r="E11" s="234"/>
      <c r="F11" s="233"/>
      <c r="G11" s="233"/>
      <c r="H11" s="231"/>
      <c r="I11" s="231"/>
      <c r="J11" s="231"/>
      <c r="K11" s="231"/>
      <c r="L11" s="231"/>
      <c r="M11" s="231"/>
      <c r="N11" s="231"/>
      <c r="O11"/>
      <c r="P11" s="231"/>
      <c r="Q11" s="232"/>
      <c r="R11" s="232"/>
      <c r="S11" s="232"/>
      <c r="T11" s="231"/>
      <c r="U11" s="354">
        <f t="shared" si="32"/>
        <v>0</v>
      </c>
      <c r="V11" s="355">
        <f>IF(N11="kompletna",M11*G11*0.0036*'[2]Założenia,wskaźniki, listy'!$H$13,IF(N11="częściowa",M11*G11*0.0036*'[2]Założenia,wskaźniki, listy'!$H$14,IF(N11="brak",M11*G11*0.0036*'[2]Założenia,wskaźniki, listy'!$H$15,0)))</f>
        <v>0</v>
      </c>
      <c r="W11" s="182">
        <f>K11*'[3]Założenia,wskaźniki, listy'!$L$16</f>
        <v>0</v>
      </c>
      <c r="X11" s="182">
        <f>IF(O11="węgiel",P11*'[3]Założenia,wskaźniki, listy'!$B$4,IF(O11="gaz",P11*'[3]Założenia,wskaźniki, listy'!$B$5,IF(O11="drewno",P11*'[3]Założenia,wskaźniki, listy'!$B$6,IF(O11="pelet",P11*'[3]Założenia,wskaźniki, listy'!$B$7,IF(O11="olej opałowy",P11*'[3]Założenia,wskaźniki, listy'!$B$8,IF(O11="sieć ciepłownicza",0,0))))))</f>
        <v>0</v>
      </c>
      <c r="Y11" s="182">
        <f>IF(O11="węgiel",X11*'[2]Założenia,wskaźniki, listy'!$C$44,IF(O11="gaz",X11*'[2]Założenia,wskaźniki, listy'!$D$44,IF(O11="drewno",X11*'[2]Założenia,wskaźniki, listy'!$E$44,IF(O11="pelet",X11*'[2]Założenia,wskaźniki, listy'!$F$44,IF(O11="olej opałowy",X11*'[2]Założenia,wskaźniki, listy'!$G$44,IF(O11="sieć ciepłownicza",0,IF(O11="prąd",0,0)))))))</f>
        <v>0</v>
      </c>
      <c r="Z11" s="182">
        <f>IF(O11="węgiel",X11*'[2]Założenia,wskaźniki, listy'!$C$45,IF(O11="gaz",X11*'[2]Założenia,wskaźniki, listy'!$D$45,IF(O11="drewno",X11*'[2]Założenia,wskaźniki, listy'!$E$45,IF(O11="pelet",X11*'[2]Założenia,wskaźniki, listy'!$F$45,IF(O11="olej opałowy",X11*'[2]Założenia,wskaźniki, listy'!$G$45,IF(O11="sieć ciepłownicza",0,IF(O11="prąd",0,0)))))))</f>
        <v>0</v>
      </c>
      <c r="AA11" s="182">
        <f>IF(O11="węgiel",X11*'[2]Założenia,wskaźniki, listy'!$C$46,IF(O11="gaz",X11*'[2]Założenia,wskaźniki, listy'!$D$46,IF(O11="drewno",X11*'[2]Założenia,wskaźniki, listy'!$E$46,IF(O11="pelet",X11*'[2]Założenia,wskaźniki, listy'!$F$46,IF(O11="olej opałowy",X11*'[2]Założenia,wskaźniki, listy'!$G$46,IF(O11="sieć ciepłownicza",0,IF(O11="prąd",0,0)))))))</f>
        <v>0</v>
      </c>
      <c r="AB11" s="182">
        <f>IF(O11="węgiel",X11*'[2]Założenia,wskaźniki, listy'!$C$47,IF(O11="gaz",X11*'[2]Założenia,wskaźniki, listy'!$D$47,IF(O11="drewno",X11*'[2]Założenia,wskaźniki, listy'!$E$47,IF(O11="pelet",X11*'[2]Założenia,wskaźniki, listy'!$F$47,IF(O11="olej opałowy",X11*'[2]Założenia,wskaźniki, listy'!$G$47,IF(O11="sieć ciepłownicza",0,IF(O11="prąd",0,0)))))))</f>
        <v>0</v>
      </c>
      <c r="AC11" s="182">
        <f>IF(O11="węgiel",X11*'[2]Założenia,wskaźniki, listy'!$C$48,IF(O11="gaz",X11*'[2]Założenia,wskaźniki, listy'!$D$48,IF(O11="drewno",X11*'[2]Założenia,wskaźniki, listy'!$E$48,IF(O11="pelet",X11*'[2]Założenia,wskaźniki, listy'!$F$48,IF(O11="olej opałowy",X11*'[2]Założenia,wskaźniki, listy'!$G$48,IF(O11="sieć ciepłownicza",0,IF(O11="prąd",0,0)))))))</f>
        <v>0</v>
      </c>
      <c r="AD11" s="182">
        <f>IF(O11="węgiel",X11*'[2]Założenia,wskaźniki, listy'!$C$49,IF(O11="gaz",X11*'[2]Założenia,wskaźniki, listy'!$D$49,IF(O11="drewno",X11*'[2]Założenia,wskaźniki, listy'!$E$49,IF(O11="pelet",X11*'[2]Założenia,wskaźniki, listy'!$F$49,IF(O11="olej opałowy",X11*'[2]Założenia,wskaźniki, listy'!$G$49,IF(O11="sieć ciepłownicza",0,IF(O11="prąd",0,0)))))))</f>
        <v>0</v>
      </c>
      <c r="AE11" s="182">
        <f>IF(O11="węgiel",X11*'[2]Założenia,wskaźniki, listy'!$C$50,IF(O11="gaz",X11*'[2]Założenia,wskaźniki, listy'!$D$50,IF(O11="drewno",X11*'[2]Założenia,wskaźniki, listy'!$E$50,IF(O11="pelet",X11*'[2]Założenia,wskaźniki, listy'!$F$50,IF(O11="olej opałowy",X11*'[2]Założenia,wskaźniki, listy'!$G$50,IF(O11="sieć ciepłownicza",0,IF(O11="prąd",0,0)))))))</f>
        <v>0</v>
      </c>
      <c r="AF11" s="182">
        <f>IF(O11="węgiel",X11*[2]Z!$C$44,IF(O11="gaz",X11*[2]Z!$D$44,IF(O11="drewno",X11*[2]Z!$E$44,IF(O11="pelet",X11*[2]Z!$F$44,IF(O11="olej opałowy",X11*[2]Z!$G$44,IF(O11="sieć ciepłownicza",0,IF(O11="prąd",0,0)))))))</f>
        <v>0</v>
      </c>
      <c r="AG11" s="182">
        <f>IF(O11="węgiel",X11*[2]Z!$C$45,IF(O11="gaz",X11*[2]Z!$D$45,IF(O11="drewno",X11*[2]Z!$E$45,IF(O11="pelet",X11*[2]Z!$F$45,IF(O11="olej opałowy",X11*[2]Z!$G$45,IF(O11="sieć ciepłownicza",0,IF(O11="prąd",0,0)))))))</f>
        <v>0</v>
      </c>
      <c r="AH11" s="182">
        <f>IF(O11="węgiel",X11*[2]Z!$C$46,IF(O11="gaz",X11*[2]Z!$D$46,IF(O11="drewno",X11*[2]Z!$E$46,IF(O11="pelet",X11*[2]Z!$F$46,IF(O11="olej opałowy",X11*[2]Z!$G$46,IF(O11="sieć ciepłownicza",0,IF(O11="prąd",0,0)))))))</f>
        <v>0</v>
      </c>
      <c r="AI11" s="182">
        <f>IF(O11="węgiel",X11*[2]Z!$C$47,IF(O11="gaz",X11*[2]Z!$D$47,IF(O11="drewno",X11*[2]Z!$E$47,IF(O11="pelet",X11*[2]Z!$F$47,IF(O11="olej opałowy",X11*[2]Z!$G$47,IF(O11="sieć ciepłownicza",0,IF(O11="prąd",0,0)))))))</f>
        <v>0</v>
      </c>
      <c r="AJ11" s="182">
        <f>IF(O11="węgiel",X11*[2]Z!$C$48,IF(O11="gaz",X11*[2]Z!$D$48,IF(O11="drewno",X11*[2]Z!$E$48,IF(O11="pelet",X11*[2]Z!$F$48,IF(O11="olej opałowy",X11*[2]Z!$G$48,IF(O11="sieć ciepłownicza",0,IF(O11="prąd",0,0)))))))</f>
        <v>0</v>
      </c>
      <c r="AK11" s="182">
        <f>IF(O11="węgiel",X11*[2]Z!$C$49,IF(O11="gaz",X11*[2]Z!$D$49,IF(O11="drewno",X11*[2]Z!$E$49,IF(O11="pelet",X11*[2]Z!$F$49,IF(O11="olej opałowy",X11*[2]Z!$G$49,IF(O11="sieć ciepłownicza",0,IF(O11="prąd",0,0)))))))</f>
        <v>0</v>
      </c>
      <c r="AL11" s="182">
        <f>IF(O11="węgiel",X11*[2]Z!$C$50,IF(O11="gaz",X11*[2]Z!$D$50,IF(O11="drewno",X11*[2]Z!$E$50,IF(O11="pelet",X11*[2]Z!$F$50,IF(O11="olej opałowy",X11*[2]Z!$G$50,IF(O11="sieć ciepłownicza",0,IF(O11="prąd",0,0)))))))</f>
        <v>0</v>
      </c>
      <c r="AM11" s="182">
        <f>IF(T11="węgiel",W11*'[2]Założenia,wskaźniki, listy'!$C$44,IF(T11="gaz",W11*'[2]Założenia,wskaźniki, listy'!$D$44,IF(T11="drewno",W11*'[2]Założenia,wskaźniki, listy'!$E$44,IF(T11="pelet",W11*'[2]Założenia,wskaźniki, listy'!$F$44,IF(T11="olej opałowy",W11*'[2]Założenia,wskaźniki, listy'!$G$44,IF(T11="sieć ciepłownicza",0,IF(T11="prąd",0,0)))))))</f>
        <v>0</v>
      </c>
      <c r="AN11" s="182">
        <f>IF(U11="węgiel",X11*'[2]Założenia,wskaźniki, listy'!$C$45,IF(U11="gaz",X11*'[2]Założenia,wskaźniki, listy'!$D$45,IF(U11="drewno",X11*'[2]Założenia,wskaźniki, listy'!$E$45,IF(U11="pelet",X11*'[2]Założenia,wskaźniki, listy'!$F$45,IF(U11="olej opałowy",X11*'[2]Założenia,wskaźniki, listy'!$G$45,IF(U11="sieć ciepłownicza",0,IF(U11="prąd",0,0)))))))</f>
        <v>0</v>
      </c>
      <c r="AO11" s="182">
        <f>IF(U11="węgiel",X11*'[2]Założenia,wskaźniki, listy'!$C$46,IF(U11="gaz",X11*'[2]Założenia,wskaźniki, listy'!$D$46,IF(U11="drewno",X11*'[2]Założenia,wskaźniki, listy'!$E$46,IF(U11="pelet",X11*'[2]Założenia,wskaźniki, listy'!$F$46,IF(U11="olej opałowy",X11*'[2]Założenia,wskaźniki, listy'!$G$46,IF(U11="sieć ciepłownicza",0,IF(U11="prąd",0,0)))))))</f>
        <v>0</v>
      </c>
      <c r="AP11" s="182">
        <f>IF(U11="węgiel",X11*'[2]Założenia,wskaźniki, listy'!$C$47,IF(U11="gaz",X11*'[2]Założenia,wskaźniki, listy'!$D$47,IF(U11="drewno",X11*'[2]Założenia,wskaźniki, listy'!$E$47,IF(U11="pelet",X11*'[2]Założenia,wskaźniki, listy'!$F$47,IF(U11="olej opałowy",X11*'[2]Założenia,wskaźniki, listy'!$G$47,IF(U11="sieć ciepłownicza",0,IF(U11="prąd",0,0)))))))</f>
        <v>0</v>
      </c>
      <c r="AQ11" s="182">
        <f>IF(U11="węgiel",X11*'[2]Założenia,wskaźniki, listy'!$C$48,IF(U11="gaz",X11*'[2]Założenia,wskaźniki, listy'!$D$48,IF(U11="drewno",X11*'[2]Założenia,wskaźniki, listy'!$E$48,IF(U11="pelet",X11*'[2]Założenia,wskaźniki, listy'!$F$48,IF(U11="olej opałowy",X11*'[2]Założenia,wskaźniki, listy'!$G$48,IF(U11="sieć ciepłownicza",0,IF(U11="prąd",0,0)))))))</f>
        <v>0</v>
      </c>
      <c r="AR11" s="182">
        <f>IF(U11="węgiel",X11*'[2]Założenia,wskaźniki, listy'!$C$49,IF(U11="gaz",X11*'[2]Założenia,wskaźniki, listy'!$D$49,IF(U11="drewno",X11*'[2]Założenia,wskaźniki, listy'!$E$49,IF(U11="pelet",X11*'[2]Założenia,wskaźniki, listy'!$F$49,IF(U11="olej opałowy",X11*'[2]Założenia,wskaźniki, listy'!$G$49,IF(U11="sieć ciepłownicza",0,IF(U11="prąd",0,0)))))))</f>
        <v>0</v>
      </c>
      <c r="AS11" s="182">
        <f>IF(U11="węgiel",X11*'[2]Założenia,wskaźniki, listy'!$C$50,IF(U11="gaz",X11*'[2]Założenia,wskaźniki, listy'!$D$50,IF(U11="drewno",X11*'[2]Założenia,wskaźniki, listy'!$E$50,IF(U11="pelet",X11*'[2]Założenia,wskaźniki, listy'!$F$50,IF(U11="olej opałowy",X11*'[2]Założenia,wskaźniki, listy'!$G$50,IF(U11="sieć ciepłownicza",0,IF(U11="prąd",0,0)))))))</f>
        <v>0</v>
      </c>
      <c r="AT11" s="182">
        <f t="shared" si="29"/>
        <v>0</v>
      </c>
      <c r="AU11" s="182"/>
      <c r="AV11" s="182">
        <f t="shared" si="30"/>
        <v>0</v>
      </c>
      <c r="AW11" s="182">
        <f t="shared" si="2"/>
        <v>0</v>
      </c>
      <c r="AX11" s="182">
        <f t="shared" si="34"/>
        <v>0</v>
      </c>
      <c r="AY11" s="182">
        <f t="shared" si="3"/>
        <v>0</v>
      </c>
      <c r="AZ11" s="182">
        <f t="shared" si="4"/>
        <v>0</v>
      </c>
      <c r="BA11" s="182">
        <f t="shared" si="5"/>
        <v>0</v>
      </c>
      <c r="BB11" s="182">
        <f t="shared" si="6"/>
        <v>0</v>
      </c>
      <c r="BC11" s="71"/>
      <c r="BD11" s="183"/>
      <c r="BE11" s="349"/>
      <c r="BF11" s="183"/>
      <c r="BG11" s="183"/>
      <c r="BH11" s="183"/>
      <c r="BI11" s="183"/>
      <c r="BJ11" s="183"/>
      <c r="BK11" s="249"/>
      <c r="BN11" s="245">
        <f t="shared" si="7"/>
        <v>0</v>
      </c>
      <c r="BO11" s="87" t="b">
        <f t="shared" si="8"/>
        <v>0</v>
      </c>
      <c r="BP11" s="87" t="b">
        <f t="shared" si="9"/>
        <v>0</v>
      </c>
      <c r="BQ11" s="87" t="b">
        <f t="shared" si="10"/>
        <v>0</v>
      </c>
      <c r="BR11" s="87" t="b">
        <f t="shared" si="11"/>
        <v>0</v>
      </c>
      <c r="BS11" s="87" t="b">
        <f t="shared" si="12"/>
        <v>0</v>
      </c>
      <c r="BT11" s="87" t="b">
        <f t="shared" si="13"/>
        <v>0</v>
      </c>
      <c r="BU11" s="87" t="b">
        <f t="shared" si="14"/>
        <v>0</v>
      </c>
      <c r="BV11" s="87" t="b">
        <f t="shared" si="15"/>
        <v>0</v>
      </c>
      <c r="BW11" s="246" t="b">
        <f t="shared" si="16"/>
        <v>0</v>
      </c>
      <c r="BX11" s="87" t="b">
        <f t="shared" si="17"/>
        <v>0</v>
      </c>
      <c r="BY11" s="87" t="b">
        <f t="shared" si="18"/>
        <v>0</v>
      </c>
      <c r="BZ11" s="87" t="b">
        <f t="shared" si="19"/>
        <v>0</v>
      </c>
      <c r="CA11" s="87" t="b">
        <f t="shared" si="20"/>
        <v>0</v>
      </c>
      <c r="CB11" s="87" t="b">
        <f t="shared" si="21"/>
        <v>0</v>
      </c>
      <c r="CC11" s="87" t="b">
        <f t="shared" si="22"/>
        <v>0</v>
      </c>
      <c r="CD11" s="245" t="b">
        <f t="shared" si="23"/>
        <v>0</v>
      </c>
      <c r="CE11" s="87" t="b">
        <f t="shared" si="24"/>
        <v>0</v>
      </c>
      <c r="CF11" s="87" t="b">
        <f t="shared" si="25"/>
        <v>0</v>
      </c>
      <c r="CG11" s="87" t="b">
        <f t="shared" si="26"/>
        <v>0</v>
      </c>
      <c r="CH11" s="87" t="b">
        <f t="shared" si="27"/>
        <v>0</v>
      </c>
      <c r="CI11" s="246" t="b">
        <f t="shared" si="28"/>
        <v>0</v>
      </c>
    </row>
    <row r="12" spans="1:89" s="236" customFormat="1" ht="8.25" hidden="1" customHeight="1">
      <c r="A12" s="346"/>
      <c r="B12" s="234"/>
      <c r="C12" s="347"/>
      <c r="D12" s="345"/>
      <c r="E12" s="234"/>
      <c r="F12" s="234"/>
      <c r="G12" s="234"/>
      <c r="H12" s="71"/>
      <c r="I12" s="71"/>
      <c r="J12" s="71"/>
      <c r="K12" s="71"/>
      <c r="L12" s="71"/>
      <c r="M12" s="71"/>
      <c r="N12" s="71"/>
      <c r="O12" s="231"/>
      <c r="P12" s="71"/>
      <c r="Q12" s="183"/>
      <c r="R12" s="183"/>
      <c r="S12" s="183"/>
      <c r="T12" s="71"/>
      <c r="U12" s="213"/>
      <c r="V12" s="227"/>
      <c r="W12" s="172"/>
      <c r="X12" s="182"/>
      <c r="Y12" s="182"/>
      <c r="Z12" s="182"/>
      <c r="AA12" s="182"/>
      <c r="AB12" s="182"/>
      <c r="AC12" s="182"/>
      <c r="AD12" s="182"/>
      <c r="AE12" s="182"/>
      <c r="AF12" s="182"/>
      <c r="AG12" s="182"/>
      <c r="AH12" s="182"/>
      <c r="AI12" s="182"/>
      <c r="AJ12" s="182"/>
      <c r="AK12" s="182"/>
      <c r="AL12" s="182"/>
      <c r="AM12" s="172"/>
      <c r="AN12" s="172"/>
      <c r="AO12" s="172"/>
      <c r="AP12" s="172"/>
      <c r="AQ12" s="172"/>
      <c r="AR12" s="172"/>
      <c r="AS12" s="172"/>
      <c r="AT12" s="172"/>
      <c r="AU12" s="172"/>
      <c r="AV12" s="182"/>
      <c r="AW12" s="182"/>
      <c r="AX12" s="182"/>
      <c r="AY12" s="182"/>
      <c r="AZ12" s="182"/>
      <c r="BA12" s="182"/>
      <c r="BB12" s="182"/>
      <c r="BC12" s="71"/>
      <c r="BD12" s="183"/>
      <c r="BE12" s="349"/>
      <c r="BF12" s="183"/>
      <c r="BG12" s="183"/>
      <c r="BH12" s="183"/>
      <c r="BI12" s="183"/>
      <c r="BJ12" s="183"/>
      <c r="BK12" s="249"/>
      <c r="BN12" s="245"/>
      <c r="BO12" s="87"/>
      <c r="BP12" s="87"/>
      <c r="BQ12" s="87"/>
      <c r="BR12" s="87"/>
      <c r="BS12" s="87"/>
      <c r="BT12" s="87"/>
      <c r="BU12" s="87"/>
      <c r="BV12" s="87"/>
      <c r="BW12" s="246"/>
      <c r="BX12" s="87"/>
      <c r="BY12" s="87"/>
      <c r="BZ12" s="87"/>
      <c r="CA12" s="87"/>
      <c r="CB12" s="87"/>
      <c r="CC12" s="87"/>
      <c r="CD12" s="245"/>
      <c r="CE12" s="87"/>
      <c r="CF12" s="87"/>
      <c r="CG12" s="87"/>
      <c r="CH12" s="87"/>
      <c r="CI12" s="246"/>
    </row>
    <row r="13" spans="1:89" s="64" customFormat="1" ht="8.25">
      <c r="A13" s="379" t="s">
        <v>270</v>
      </c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62" t="e">
        <f>SUM(#REF!)</f>
        <v>#REF!</v>
      </c>
      <c r="U13" s="62">
        <f>SUM(U11:U12)</f>
        <v>0</v>
      </c>
      <c r="V13" s="62">
        <f t="shared" ref="V13:AT13" si="48">SUM(V11:V12)</f>
        <v>0</v>
      </c>
      <c r="W13" s="62">
        <f>SUM(W11:W12)</f>
        <v>0</v>
      </c>
      <c r="X13" s="62">
        <f t="shared" si="48"/>
        <v>0</v>
      </c>
      <c r="Y13" s="62">
        <f t="shared" si="48"/>
        <v>0</v>
      </c>
      <c r="Z13" s="62">
        <f t="shared" si="48"/>
        <v>0</v>
      </c>
      <c r="AA13" s="62">
        <f t="shared" si="48"/>
        <v>0</v>
      </c>
      <c r="AB13" s="62">
        <f t="shared" si="48"/>
        <v>0</v>
      </c>
      <c r="AC13" s="62">
        <f t="shared" si="48"/>
        <v>0</v>
      </c>
      <c r="AD13" s="62">
        <f t="shared" si="48"/>
        <v>0</v>
      </c>
      <c r="AE13" s="62">
        <f t="shared" si="48"/>
        <v>0</v>
      </c>
      <c r="AF13" s="62">
        <f t="shared" si="48"/>
        <v>0</v>
      </c>
      <c r="AG13" s="62">
        <f t="shared" si="48"/>
        <v>0</v>
      </c>
      <c r="AH13" s="62">
        <f t="shared" si="48"/>
        <v>0</v>
      </c>
      <c r="AI13" s="62">
        <f t="shared" si="48"/>
        <v>0</v>
      </c>
      <c r="AJ13" s="62">
        <f t="shared" si="48"/>
        <v>0</v>
      </c>
      <c r="AK13" s="62">
        <f t="shared" si="48"/>
        <v>0</v>
      </c>
      <c r="AL13" s="62">
        <f t="shared" si="48"/>
        <v>0</v>
      </c>
      <c r="AM13" s="62">
        <f t="shared" si="48"/>
        <v>0</v>
      </c>
      <c r="AN13" s="62">
        <f t="shared" si="48"/>
        <v>0</v>
      </c>
      <c r="AO13" s="62">
        <f t="shared" si="48"/>
        <v>0</v>
      </c>
      <c r="AP13" s="62">
        <f t="shared" si="48"/>
        <v>0</v>
      </c>
      <c r="AQ13" s="62">
        <f t="shared" si="48"/>
        <v>0</v>
      </c>
      <c r="AR13" s="62">
        <f t="shared" si="48"/>
        <v>0</v>
      </c>
      <c r="AS13" s="62">
        <f t="shared" si="48"/>
        <v>0</v>
      </c>
      <c r="AT13" s="62">
        <f t="shared" si="48"/>
        <v>0</v>
      </c>
      <c r="AU13" s="62">
        <f>SUM(AU5:AU12)</f>
        <v>0</v>
      </c>
      <c r="AV13" s="62">
        <f>SUM(AV5:AV12)</f>
        <v>0</v>
      </c>
      <c r="AW13" s="62">
        <f t="shared" ref="AW13:BB13" si="49">SUM(AW5:AW12)</f>
        <v>0</v>
      </c>
      <c r="AX13" s="62">
        <f t="shared" si="49"/>
        <v>0</v>
      </c>
      <c r="AY13" s="62">
        <f t="shared" si="49"/>
        <v>0</v>
      </c>
      <c r="AZ13" s="62">
        <f t="shared" si="49"/>
        <v>0</v>
      </c>
      <c r="BA13" s="62">
        <f t="shared" si="49"/>
        <v>0</v>
      </c>
      <c r="BB13" s="62">
        <f t="shared" si="49"/>
        <v>0</v>
      </c>
      <c r="BC13" s="69"/>
      <c r="BD13" s="69"/>
      <c r="BF13" s="221" t="e">
        <f>SUM(#REF!)</f>
        <v>#REF!</v>
      </c>
      <c r="BG13" s="221" t="e">
        <f>SUM(#REF!)</f>
        <v>#REF!</v>
      </c>
      <c r="BH13" s="221" t="e">
        <f>SUM(#REF!)</f>
        <v>#REF!</v>
      </c>
      <c r="BI13" s="221" t="e">
        <f>SUM(#REF!)</f>
        <v>#REF!</v>
      </c>
      <c r="BJ13" s="221" t="e">
        <f>SUM(#REF!)</f>
        <v>#REF!</v>
      </c>
      <c r="BK13" s="221" t="e">
        <f>SUM(#REF!)</f>
        <v>#REF!</v>
      </c>
      <c r="BL13" s="221" t="e">
        <f>SUM(#REF!)</f>
        <v>#REF!</v>
      </c>
      <c r="BM13" s="221" t="e">
        <f>SUM(#REF!)</f>
        <v>#REF!</v>
      </c>
      <c r="BN13" s="221" t="e">
        <f>SUM(#REF!)</f>
        <v>#REF!</v>
      </c>
      <c r="BO13" s="221" t="e">
        <f>SUM(#REF!)</f>
        <v>#REF!</v>
      </c>
      <c r="BP13" s="221" t="e">
        <f>SUM(#REF!)</f>
        <v>#REF!</v>
      </c>
      <c r="BQ13" s="221" t="e">
        <f>SUM(#REF!)</f>
        <v>#REF!</v>
      </c>
      <c r="BR13" s="221" t="e">
        <f>SUM(#REF!)</f>
        <v>#REF!</v>
      </c>
      <c r="BS13" s="221" t="e">
        <f>SUM(#REF!)</f>
        <v>#REF!</v>
      </c>
      <c r="BT13" s="221" t="e">
        <f>SUM(#REF!)</f>
        <v>#REF!</v>
      </c>
      <c r="BU13" s="221" t="e">
        <f>SUM(#REF!)</f>
        <v>#REF!</v>
      </c>
      <c r="BV13" s="221" t="e">
        <f>SUM(#REF!)</f>
        <v>#REF!</v>
      </c>
      <c r="BW13" s="221" t="e">
        <f>SUM(#REF!)</f>
        <v>#REF!</v>
      </c>
      <c r="BX13" s="221" t="e">
        <f>SUM(#REF!)</f>
        <v>#REF!</v>
      </c>
      <c r="BY13" s="221" t="e">
        <f>SUM(#REF!)</f>
        <v>#REF!</v>
      </c>
      <c r="BZ13" s="221" t="e">
        <f>SUM(#REF!)</f>
        <v>#REF!</v>
      </c>
      <c r="CA13" s="221" t="e">
        <f>SUM(#REF!)</f>
        <v>#REF!</v>
      </c>
      <c r="CB13" s="221" t="e">
        <f>SUM(#REF!)</f>
        <v>#REF!</v>
      </c>
      <c r="CC13" s="221" t="e">
        <f>SUM(#REF!)</f>
        <v>#REF!</v>
      </c>
      <c r="CD13" s="221" t="e">
        <f>SUM(#REF!)</f>
        <v>#REF!</v>
      </c>
      <c r="CE13" s="221" t="e">
        <f>SUM(#REF!)</f>
        <v>#REF!</v>
      </c>
      <c r="CF13" s="221" t="e">
        <f>SUM(#REF!)</f>
        <v>#REF!</v>
      </c>
      <c r="CG13" s="221" t="e">
        <f>SUM(#REF!)</f>
        <v>#REF!</v>
      </c>
      <c r="CH13" s="221" t="e">
        <f>SUM(#REF!)</f>
        <v>#REF!</v>
      </c>
      <c r="CI13" s="221" t="e">
        <f>SUM(#REF!)</f>
        <v>#REF!</v>
      </c>
      <c r="CJ13" s="221" t="e">
        <f>SUM(#REF!)</f>
        <v>#REF!</v>
      </c>
      <c r="CK13" s="222" t="e">
        <f>SUM(CD13:CJ13)</f>
        <v>#REF!</v>
      </c>
    </row>
    <row r="15" spans="1:89" ht="14.25" hidden="1" customHeight="1"/>
    <row r="16" spans="1:89" ht="14.25" hidden="1" customHeight="1"/>
    <row r="17" ht="14.25" hidden="1" customHeight="1"/>
    <row r="18" ht="14.25" hidden="1" customHeight="1"/>
    <row r="19" ht="14.25" hidden="1" customHeight="1"/>
    <row r="20" ht="14.25" hidden="1" customHeight="1"/>
    <row r="21" ht="14.25" hidden="1" customHeight="1"/>
    <row r="22" ht="14.25" hidden="1" customHeight="1"/>
    <row r="23" ht="14.25" hidden="1" customHeight="1"/>
    <row r="24" ht="14.25" hidden="1" customHeight="1"/>
    <row r="25" ht="14.25" hidden="1" customHeight="1"/>
    <row r="26" ht="14.25" hidden="1" customHeight="1"/>
    <row r="27" ht="14.25" hidden="1" customHeight="1"/>
    <row r="28" ht="14.25" hidden="1" customHeight="1"/>
    <row r="29" ht="14.25" hidden="1" customHeight="1"/>
    <row r="30" ht="14.25" hidden="1" customHeight="1"/>
    <row r="31" ht="14.25" hidden="1" customHeight="1"/>
    <row r="32" ht="14.25" hidden="1" customHeight="1"/>
    <row r="33" spans="48:57" ht="14.25" hidden="1" customHeight="1"/>
    <row r="34" spans="48:57" ht="14.25" hidden="1" customHeight="1"/>
    <row r="35" spans="48:57" ht="14.25" hidden="1" customHeight="1"/>
    <row r="36" spans="48:57" ht="14.25" hidden="1" customHeight="1"/>
    <row r="37" spans="48:57" ht="14.25" hidden="1" customHeight="1"/>
    <row r="38" spans="48:57" ht="14.25" hidden="1" customHeight="1"/>
    <row r="39" spans="48:57" ht="14.25" hidden="1" customHeight="1"/>
    <row r="40" spans="48:57" ht="14.25" hidden="1" customHeight="1"/>
    <row r="41" spans="48:57" ht="14.25" hidden="1" customHeight="1"/>
    <row r="42" spans="48:57" ht="14.25" hidden="1" customHeight="1"/>
    <row r="43" spans="48:57" ht="14.25" hidden="1" customHeight="1"/>
    <row r="44" spans="48:57" ht="14.25" hidden="1" customHeight="1"/>
    <row r="45" spans="48:57" ht="14.25" hidden="1" customHeight="1"/>
    <row r="46" spans="48:57" ht="14.25" hidden="1" customHeight="1"/>
    <row r="47" spans="48:57" ht="15" hidden="1" customHeight="1">
      <c r="AV47" s="291"/>
      <c r="AW47" s="291"/>
      <c r="AX47" s="291"/>
      <c r="AY47" s="291"/>
      <c r="AZ47" s="291"/>
      <c r="BA47" s="291"/>
      <c r="BB47" s="291"/>
      <c r="BC47" s="291"/>
      <c r="BD47" s="291"/>
      <c r="BE47" s="291"/>
    </row>
    <row r="48" spans="48:57" ht="14.25" hidden="1" customHeight="1"/>
    <row r="49" spans="48:57" ht="14.25" hidden="1" customHeight="1">
      <c r="BD49" s="291"/>
      <c r="BE49" s="291"/>
    </row>
    <row r="50" spans="48:57" ht="14.25" hidden="1" customHeight="1">
      <c r="BD50" s="384"/>
      <c r="BE50" s="264"/>
    </row>
    <row r="51" spans="48:57" ht="14.25" hidden="1" customHeight="1">
      <c r="BD51" s="384"/>
      <c r="BE51" s="264"/>
    </row>
    <row r="52" spans="48:57" ht="14.25" hidden="1" customHeight="1">
      <c r="BD52" s="384"/>
      <c r="BE52" s="264"/>
    </row>
    <row r="53" spans="48:57" ht="14.25" hidden="1" customHeight="1">
      <c r="BD53" s="384"/>
      <c r="BE53" s="384"/>
    </row>
    <row r="54" spans="48:57" ht="14.25" hidden="1" customHeight="1">
      <c r="BD54" s="384"/>
      <c r="BE54" s="264"/>
    </row>
    <row r="55" spans="48:57" ht="14.25" hidden="1" customHeight="1">
      <c r="BC55" s="384"/>
      <c r="BD55" s="384"/>
      <c r="BE55" s="264"/>
    </row>
    <row r="56" spans="48:57" ht="14.25" hidden="1" customHeight="1">
      <c r="BC56" s="384"/>
      <c r="BD56" s="384"/>
      <c r="BE56" s="264"/>
    </row>
    <row r="57" spans="48:57" ht="14.25" hidden="1" customHeight="1">
      <c r="BC57" s="384"/>
      <c r="BD57" s="384"/>
      <c r="BE57" s="264"/>
    </row>
    <row r="58" spans="48:57" ht="14.25" hidden="1" customHeight="1"/>
    <row r="59" spans="48:57" ht="14.25" hidden="1" customHeight="1">
      <c r="AV59" s="307" t="s">
        <v>73</v>
      </c>
      <c r="AW59" s="308"/>
      <c r="AX59" s="385" t="s">
        <v>8</v>
      </c>
      <c r="AY59" t="s">
        <v>26</v>
      </c>
      <c r="AZ59" s="264" t="s">
        <v>79</v>
      </c>
      <c r="BA59" s="264" t="s">
        <v>27</v>
      </c>
      <c r="BB59" s="264" t="s">
        <v>117</v>
      </c>
    </row>
    <row r="60" spans="48:57" ht="15" hidden="1" customHeight="1">
      <c r="AV60" s="307" t="s">
        <v>75</v>
      </c>
      <c r="AW60" s="281" t="s">
        <v>239</v>
      </c>
      <c r="AX60" s="386"/>
    </row>
    <row r="61" spans="48:57" ht="14.25" hidden="1" customHeight="1">
      <c r="AV61" s="313" t="s">
        <v>66</v>
      </c>
      <c r="AW61" s="281" t="s">
        <v>239</v>
      </c>
      <c r="AX61" s="387">
        <f>190/1000000</f>
        <v>1.9000000000000001E-4</v>
      </c>
      <c r="AY61" s="388">
        <f>0.5/1000000</f>
        <v>4.9999999999999998E-7</v>
      </c>
      <c r="AZ61" s="388">
        <f>76/1000000</f>
        <v>7.6000000000000004E-5</v>
      </c>
      <c r="BA61" s="388">
        <f>AZ61</f>
        <v>7.6000000000000004E-5</v>
      </c>
      <c r="BB61" s="389">
        <f>3/1000000</f>
        <v>3.0000000000000001E-6</v>
      </c>
    </row>
    <row r="62" spans="48:57" ht="14.25" hidden="1" customHeight="1">
      <c r="AV62" s="313" t="s">
        <v>67</v>
      </c>
      <c r="AW62" s="281" t="s">
        <v>239</v>
      </c>
      <c r="AX62" s="390">
        <f>170/1000000</f>
        <v>1.7000000000000001E-4</v>
      </c>
      <c r="AY62" s="336">
        <f>0.5/1000000</f>
        <v>4.9999999999999998E-7</v>
      </c>
      <c r="AZ62" s="336">
        <f>76/1000000</f>
        <v>7.6000000000000004E-5</v>
      </c>
      <c r="BA62" s="336">
        <f t="shared" ref="BA62:BA66" si="50">AZ62</f>
        <v>7.6000000000000004E-5</v>
      </c>
      <c r="BB62" s="391">
        <f>3/1000000</f>
        <v>3.0000000000000001E-6</v>
      </c>
    </row>
    <row r="63" spans="48:57" ht="14.25" hidden="1" customHeight="1">
      <c r="AV63" s="313" t="s">
        <v>68</v>
      </c>
      <c r="AW63" s="281" t="s">
        <v>239</v>
      </c>
      <c r="AX63" s="390">
        <f>93.74/1000</f>
        <v>9.373999999999999E-2</v>
      </c>
      <c r="AY63" s="336">
        <f>55.82/1000</f>
        <v>5.5820000000000002E-2</v>
      </c>
      <c r="AZ63" s="336">
        <v>0</v>
      </c>
      <c r="BA63" s="336">
        <f t="shared" si="50"/>
        <v>0</v>
      </c>
      <c r="BB63" s="391">
        <f>76.59/1000</f>
        <v>7.6590000000000005E-2</v>
      </c>
    </row>
    <row r="64" spans="48:57" ht="14.25" hidden="1" customHeight="1">
      <c r="AV64" s="313" t="s">
        <v>69</v>
      </c>
      <c r="AW64" s="281" t="s">
        <v>239</v>
      </c>
      <c r="AX64" s="390">
        <f>100/1000000000</f>
        <v>9.9999999999999995E-8</v>
      </c>
      <c r="AY64" s="336">
        <v>0</v>
      </c>
      <c r="AZ64" s="336">
        <f>50/1000000000</f>
        <v>4.9999999999999998E-8</v>
      </c>
      <c r="BA64" s="336">
        <f t="shared" si="50"/>
        <v>4.9999999999999998E-8</v>
      </c>
      <c r="BB64" s="391">
        <f>10/1000000000</f>
        <v>1E-8</v>
      </c>
    </row>
    <row r="65" spans="48:54" ht="14.25" hidden="1" customHeight="1">
      <c r="AV65" s="313" t="s">
        <v>70</v>
      </c>
      <c r="AW65" s="281" t="s">
        <v>239</v>
      </c>
      <c r="AX65" s="390">
        <f>900/1000000</f>
        <v>8.9999999999999998E-4</v>
      </c>
      <c r="AY65" s="336">
        <f>0.5/1000000</f>
        <v>4.9999999999999998E-7</v>
      </c>
      <c r="AZ65" s="336">
        <f>20/1000000</f>
        <v>2.0000000000000002E-5</v>
      </c>
      <c r="BA65" s="336">
        <f t="shared" si="50"/>
        <v>2.0000000000000002E-5</v>
      </c>
      <c r="BB65" s="391">
        <f>140/1000000</f>
        <v>1.3999999999999999E-4</v>
      </c>
    </row>
    <row r="66" spans="48:54" ht="14.25" hidden="1" customHeight="1">
      <c r="AV66" s="313" t="s">
        <v>71</v>
      </c>
      <c r="AW66" s="281" t="s">
        <v>239</v>
      </c>
      <c r="AX66" s="390">
        <f>160/1000000</f>
        <v>1.6000000000000001E-4</v>
      </c>
      <c r="AY66" s="336">
        <f>70/1000000</f>
        <v>6.9999999999999994E-5</v>
      </c>
      <c r="AZ66" s="336">
        <f>20/1000000</f>
        <v>2.0000000000000002E-5</v>
      </c>
      <c r="BA66" s="336">
        <f t="shared" si="50"/>
        <v>2.0000000000000002E-5</v>
      </c>
      <c r="BB66" s="391">
        <f>70/1000000</f>
        <v>6.9999999999999994E-5</v>
      </c>
    </row>
    <row r="67" spans="48:54" ht="15" hidden="1" customHeight="1">
      <c r="AV67" s="317" t="s">
        <v>72</v>
      </c>
      <c r="AW67" s="318" t="s">
        <v>239</v>
      </c>
      <c r="AX67" s="392">
        <v>2.0116227089852479E-3</v>
      </c>
      <c r="AY67" s="393">
        <v>7.5000000000000002E-6</v>
      </c>
      <c r="AZ67" s="393">
        <v>1.794E-4</v>
      </c>
      <c r="BA67" s="394">
        <v>1.794E-4</v>
      </c>
      <c r="BB67" s="395">
        <v>1.625355393043083E-5</v>
      </c>
    </row>
  </sheetData>
  <mergeCells count="1">
    <mergeCell ref="AV2:BB2"/>
  </mergeCells>
  <dataValidations count="1">
    <dataValidation type="list" allowBlank="1" showInputMessage="1" showErrorMessage="1" sqref="O5:O11">
      <formula1>#REF!</formula1>
    </dataValidation>
  </dataValidation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000-000000000000}">
          <x14:formula1>
            <xm:f>'[3]Założenia,wskaźniki, listy'!#REF!</xm:f>
          </x14:formula1>
          <xm:sqref>BF5:BG11</xm:sqref>
        </x14:dataValidation>
        <x14:dataValidation type="list" allowBlank="1" showInputMessage="1" showErrorMessage="1" xr:uid="{00000000-0002-0000-1000-000002000000}">
          <x14:formula1>
            <xm:f>'[2]Założenia,wskaźniki, listy'!#REF!</xm:f>
          </x14:formula1>
          <xm:sqref>BF12:BG12 BI5:BI6 BI12 T5:T12 H5:J12 BC5:BD12 N5:N12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dimension ref="A1:CK16"/>
  <sheetViews>
    <sheetView topLeftCell="CG1" zoomScale="160" zoomScaleNormal="160" workbookViewId="0">
      <selection activeCell="CN21" sqref="CN21"/>
    </sheetView>
  </sheetViews>
  <sheetFormatPr defaultRowHeight="14.25"/>
  <cols>
    <col min="1" max="1" width="4.25" customWidth="1"/>
    <col min="2" max="3" width="0" hidden="1" customWidth="1"/>
    <col min="6" max="14" width="0" hidden="1" customWidth="1"/>
    <col min="18" max="18" width="9" customWidth="1"/>
    <col min="20" max="20" width="0" hidden="1" customWidth="1"/>
    <col min="22" max="45" width="9" customWidth="1"/>
    <col min="48" max="49" width="4.875" bestFit="1" customWidth="1"/>
    <col min="50" max="50" width="4.375" bestFit="1" customWidth="1"/>
    <col min="51" max="54" width="4.875" bestFit="1" customWidth="1"/>
    <col min="55" max="91" width="9" customWidth="1"/>
  </cols>
  <sheetData>
    <row r="1" spans="1:89" ht="15" thickBot="1">
      <c r="A1" s="811" t="s">
        <v>260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  <c r="U1" s="811"/>
      <c r="V1" s="811"/>
      <c r="W1" s="811"/>
      <c r="X1" s="811"/>
      <c r="Y1" s="811"/>
      <c r="Z1" s="811"/>
      <c r="AA1" s="811"/>
      <c r="AB1" s="811"/>
      <c r="AC1" s="811"/>
      <c r="AD1" s="811"/>
      <c r="AE1" s="811"/>
      <c r="AF1" s="811"/>
      <c r="AG1" s="811"/>
      <c r="AH1" s="811"/>
      <c r="AI1" s="811"/>
      <c r="AJ1" s="811"/>
      <c r="AK1" s="811"/>
      <c r="AL1" s="811"/>
      <c r="AM1" s="811"/>
      <c r="AN1" s="811"/>
      <c r="AO1" s="812"/>
      <c r="AP1" s="812"/>
      <c r="AQ1" s="812"/>
      <c r="AR1" s="812"/>
      <c r="AS1" s="812"/>
      <c r="AT1" s="812"/>
      <c r="AU1" s="812"/>
      <c r="AV1" s="812"/>
      <c r="AW1" s="812"/>
      <c r="AX1" s="812"/>
      <c r="AY1" s="811"/>
      <c r="AZ1" s="811"/>
      <c r="BA1" s="811"/>
      <c r="BB1" s="811"/>
      <c r="BC1" s="811"/>
      <c r="BD1" s="811"/>
    </row>
    <row r="2" spans="1:89" s="238" customFormat="1" ht="8.25">
      <c r="A2" s="813" t="s">
        <v>4</v>
      </c>
      <c r="B2" s="815" t="s">
        <v>144</v>
      </c>
      <c r="C2" s="816"/>
      <c r="D2" s="819" t="s">
        <v>145</v>
      </c>
      <c r="E2" s="821" t="s">
        <v>147</v>
      </c>
      <c r="F2" s="802" t="s">
        <v>24</v>
      </c>
      <c r="G2" s="802" t="s">
        <v>148</v>
      </c>
      <c r="H2" s="802" t="s">
        <v>149</v>
      </c>
      <c r="I2" s="802" t="s">
        <v>150</v>
      </c>
      <c r="J2" s="802" t="s">
        <v>240</v>
      </c>
      <c r="K2" s="823" t="s">
        <v>152</v>
      </c>
      <c r="L2" s="808"/>
      <c r="M2" s="802" t="s">
        <v>34</v>
      </c>
      <c r="N2" s="802" t="s">
        <v>77</v>
      </c>
      <c r="O2" s="802" t="s">
        <v>25</v>
      </c>
      <c r="P2" s="802" t="s">
        <v>30</v>
      </c>
      <c r="Q2" s="802" t="s">
        <v>83</v>
      </c>
      <c r="R2" s="329" t="s">
        <v>306</v>
      </c>
      <c r="S2" s="802" t="s">
        <v>84</v>
      </c>
      <c r="T2" s="802" t="s">
        <v>78</v>
      </c>
      <c r="U2" s="802" t="s">
        <v>118</v>
      </c>
      <c r="V2" s="802" t="s">
        <v>47</v>
      </c>
      <c r="W2" s="802" t="s">
        <v>96</v>
      </c>
      <c r="X2" s="802" t="s">
        <v>47</v>
      </c>
      <c r="Y2" s="792" t="s">
        <v>80</v>
      </c>
      <c r="Z2" s="793"/>
      <c r="AA2" s="793"/>
      <c r="AB2" s="793"/>
      <c r="AC2" s="793"/>
      <c r="AD2" s="793"/>
      <c r="AE2" s="810"/>
      <c r="AF2" s="328">
        <v>200</v>
      </c>
      <c r="AG2" s="793" t="s">
        <v>304</v>
      </c>
      <c r="AH2" s="793"/>
      <c r="AI2" s="793"/>
      <c r="AJ2" s="793"/>
      <c r="AK2" s="793"/>
      <c r="AL2" s="810"/>
      <c r="AM2" s="792" t="s">
        <v>81</v>
      </c>
      <c r="AN2" s="793"/>
      <c r="AO2" s="793"/>
      <c r="AP2" s="793"/>
      <c r="AQ2" s="793"/>
      <c r="AR2" s="793"/>
      <c r="AS2" s="810"/>
      <c r="AT2" s="802" t="s">
        <v>153</v>
      </c>
      <c r="AU2" s="802" t="s">
        <v>154</v>
      </c>
      <c r="AV2" s="792" t="s">
        <v>82</v>
      </c>
      <c r="AW2" s="793"/>
      <c r="AX2" s="793"/>
      <c r="AY2" s="793"/>
      <c r="AZ2" s="793"/>
      <c r="BA2" s="793"/>
      <c r="BB2" s="794"/>
      <c r="BC2" s="808" t="s">
        <v>85</v>
      </c>
      <c r="BD2" s="802" t="s">
        <v>89</v>
      </c>
      <c r="BE2" s="802" t="s">
        <v>253</v>
      </c>
      <c r="BF2" s="802" t="s">
        <v>156</v>
      </c>
      <c r="BG2" s="802" t="s">
        <v>89</v>
      </c>
      <c r="BH2" s="802" t="s">
        <v>157</v>
      </c>
      <c r="BI2" s="802" t="s">
        <v>158</v>
      </c>
      <c r="BJ2" s="802" t="s">
        <v>159</v>
      </c>
      <c r="BK2" s="804" t="s">
        <v>157</v>
      </c>
      <c r="BN2" s="112" t="s">
        <v>114</v>
      </c>
      <c r="BO2" s="113" t="s">
        <v>115</v>
      </c>
      <c r="BP2" s="239" t="s">
        <v>38</v>
      </c>
      <c r="BQ2" s="113" t="s">
        <v>115</v>
      </c>
      <c r="BR2" s="239" t="s">
        <v>40</v>
      </c>
      <c r="BS2" s="113" t="s">
        <v>115</v>
      </c>
      <c r="BT2" s="239" t="s">
        <v>42</v>
      </c>
      <c r="BU2" s="113" t="s">
        <v>115</v>
      </c>
      <c r="BV2" s="239" t="s">
        <v>44</v>
      </c>
      <c r="BW2" s="169"/>
      <c r="BX2" s="76" t="s">
        <v>8</v>
      </c>
      <c r="BY2" s="77" t="s">
        <v>116</v>
      </c>
      <c r="BZ2" s="77" t="s">
        <v>79</v>
      </c>
      <c r="CA2" s="77" t="s">
        <v>27</v>
      </c>
      <c r="CB2" s="77" t="s">
        <v>117</v>
      </c>
      <c r="CC2" s="111" t="s">
        <v>29</v>
      </c>
      <c r="CD2" s="112" t="s">
        <v>8</v>
      </c>
      <c r="CE2" s="113" t="s">
        <v>116</v>
      </c>
      <c r="CF2" s="113" t="s">
        <v>79</v>
      </c>
      <c r="CG2" s="113" t="s">
        <v>27</v>
      </c>
      <c r="CH2" s="113" t="s">
        <v>117</v>
      </c>
      <c r="CI2" s="114" t="s">
        <v>29</v>
      </c>
    </row>
    <row r="3" spans="1:89" s="238" customFormat="1" ht="8.25">
      <c r="A3" s="814"/>
      <c r="B3" s="817"/>
      <c r="C3" s="818"/>
      <c r="D3" s="820"/>
      <c r="E3" s="822"/>
      <c r="F3" s="803"/>
      <c r="G3" s="803"/>
      <c r="H3" s="803"/>
      <c r="I3" s="803"/>
      <c r="J3" s="803"/>
      <c r="K3" s="824"/>
      <c r="L3" s="809"/>
      <c r="M3" s="803"/>
      <c r="N3" s="803"/>
      <c r="O3" s="803"/>
      <c r="P3" s="803"/>
      <c r="Q3" s="803"/>
      <c r="R3" s="330"/>
      <c r="S3" s="803"/>
      <c r="T3" s="803"/>
      <c r="U3" s="803"/>
      <c r="V3" s="803"/>
      <c r="W3" s="803"/>
      <c r="X3" s="803"/>
      <c r="Y3" s="181" t="s">
        <v>66</v>
      </c>
      <c r="Z3" s="181" t="s">
        <v>67</v>
      </c>
      <c r="AA3" s="181" t="s">
        <v>68</v>
      </c>
      <c r="AB3" s="181" t="s">
        <v>69</v>
      </c>
      <c r="AC3" s="181" t="s">
        <v>70</v>
      </c>
      <c r="AD3" s="181" t="s">
        <v>71</v>
      </c>
      <c r="AE3" s="181" t="s">
        <v>72</v>
      </c>
      <c r="AF3" s="181" t="s">
        <v>66</v>
      </c>
      <c r="AG3" s="181" t="s">
        <v>67</v>
      </c>
      <c r="AH3" s="181" t="s">
        <v>68</v>
      </c>
      <c r="AI3" s="181" t="s">
        <v>69</v>
      </c>
      <c r="AJ3" s="181" t="s">
        <v>70</v>
      </c>
      <c r="AK3" s="181" t="s">
        <v>71</v>
      </c>
      <c r="AL3" s="181" t="s">
        <v>72</v>
      </c>
      <c r="AM3" s="181" t="s">
        <v>66</v>
      </c>
      <c r="AN3" s="181" t="s">
        <v>67</v>
      </c>
      <c r="AO3" s="181" t="s">
        <v>68</v>
      </c>
      <c r="AP3" s="181" t="s">
        <v>69</v>
      </c>
      <c r="AQ3" s="181" t="s">
        <v>70</v>
      </c>
      <c r="AR3" s="181" t="s">
        <v>71</v>
      </c>
      <c r="AS3" s="181" t="s">
        <v>72</v>
      </c>
      <c r="AT3" s="803"/>
      <c r="AU3" s="803"/>
      <c r="AV3" s="181" t="s">
        <v>66</v>
      </c>
      <c r="AW3" s="181" t="s">
        <v>67</v>
      </c>
      <c r="AX3" s="181" t="s">
        <v>100</v>
      </c>
      <c r="AY3" s="181" t="s">
        <v>69</v>
      </c>
      <c r="AZ3" s="181" t="s">
        <v>70</v>
      </c>
      <c r="BA3" s="181" t="s">
        <v>71</v>
      </c>
      <c r="BB3" s="350" t="s">
        <v>72</v>
      </c>
      <c r="BC3" s="809"/>
      <c r="BD3" s="803"/>
      <c r="BE3" s="803"/>
      <c r="BF3" s="803"/>
      <c r="BG3" s="803"/>
      <c r="BH3" s="803"/>
      <c r="BI3" s="803"/>
      <c r="BJ3" s="803"/>
      <c r="BK3" s="805"/>
      <c r="BL3" s="170"/>
      <c r="BN3" s="240"/>
      <c r="BO3" s="237"/>
      <c r="BP3" s="237"/>
      <c r="BQ3" s="237"/>
      <c r="BR3" s="237"/>
      <c r="BS3" s="237"/>
      <c r="BT3" s="237"/>
      <c r="BU3" s="237"/>
      <c r="BV3" s="237"/>
      <c r="BW3" s="241"/>
      <c r="BX3" s="237"/>
      <c r="BY3" s="237"/>
      <c r="BZ3" s="237"/>
      <c r="CA3" s="237"/>
      <c r="CB3" s="237"/>
      <c r="CC3" s="237"/>
      <c r="CD3" s="240"/>
      <c r="CE3" s="237"/>
      <c r="CF3" s="237"/>
      <c r="CG3" s="237"/>
      <c r="CH3" s="237"/>
      <c r="CI3" s="241"/>
    </row>
    <row r="4" spans="1:89" s="238" customFormat="1" ht="9" thickBot="1">
      <c r="A4" s="351">
        <v>1</v>
      </c>
      <c r="B4" s="348"/>
      <c r="C4" s="348"/>
      <c r="D4" s="242">
        <v>2</v>
      </c>
      <c r="E4" s="243">
        <v>3</v>
      </c>
      <c r="F4" s="348">
        <v>4</v>
      </c>
      <c r="G4" s="348">
        <v>5</v>
      </c>
      <c r="H4" s="348">
        <v>6</v>
      </c>
      <c r="I4" s="348">
        <v>7</v>
      </c>
      <c r="J4" s="348">
        <v>8</v>
      </c>
      <c r="K4" s="806">
        <v>6</v>
      </c>
      <c r="L4" s="807"/>
      <c r="M4" s="348">
        <v>5</v>
      </c>
      <c r="N4" s="348">
        <v>10</v>
      </c>
      <c r="O4" s="244">
        <v>4</v>
      </c>
      <c r="P4" s="348">
        <v>5</v>
      </c>
      <c r="Q4" s="348">
        <v>6</v>
      </c>
      <c r="R4" s="348">
        <v>100</v>
      </c>
      <c r="S4" s="244">
        <v>7</v>
      </c>
      <c r="T4" s="348">
        <v>15</v>
      </c>
      <c r="U4" s="348">
        <v>8</v>
      </c>
      <c r="V4" s="348">
        <v>12</v>
      </c>
      <c r="W4" s="348">
        <v>13</v>
      </c>
      <c r="X4" s="348">
        <v>14</v>
      </c>
      <c r="Y4" s="348">
        <v>15</v>
      </c>
      <c r="Z4" s="348">
        <v>16</v>
      </c>
      <c r="AA4" s="348">
        <v>17</v>
      </c>
      <c r="AB4" s="348">
        <v>18</v>
      </c>
      <c r="AC4" s="348">
        <v>19</v>
      </c>
      <c r="AD4" s="348">
        <v>20</v>
      </c>
      <c r="AE4" s="348">
        <v>21</v>
      </c>
      <c r="AF4" s="348"/>
      <c r="AG4" s="348"/>
      <c r="AH4" s="348"/>
      <c r="AI4" s="348"/>
      <c r="AJ4" s="348"/>
      <c r="AK4" s="348"/>
      <c r="AL4" s="348"/>
      <c r="AM4" s="348">
        <v>29</v>
      </c>
      <c r="AN4" s="348">
        <v>30</v>
      </c>
      <c r="AO4" s="348">
        <v>31</v>
      </c>
      <c r="AP4" s="348">
        <v>32</v>
      </c>
      <c r="AQ4" s="348">
        <v>33</v>
      </c>
      <c r="AR4" s="348">
        <v>34</v>
      </c>
      <c r="AS4" s="348">
        <v>35</v>
      </c>
      <c r="AT4" s="348">
        <v>9</v>
      </c>
      <c r="AU4" s="348">
        <v>10</v>
      </c>
      <c r="AV4" s="348">
        <v>11</v>
      </c>
      <c r="AW4" s="348">
        <v>12</v>
      </c>
      <c r="AX4" s="348">
        <f>AW4+1</f>
        <v>13</v>
      </c>
      <c r="AY4" s="348">
        <f t="shared" ref="AY4:BK4" si="0">AX4+1</f>
        <v>14</v>
      </c>
      <c r="AZ4" s="348">
        <f t="shared" si="0"/>
        <v>15</v>
      </c>
      <c r="BA4" s="348">
        <f t="shared" si="0"/>
        <v>16</v>
      </c>
      <c r="BB4" s="352">
        <f t="shared" si="0"/>
        <v>17</v>
      </c>
      <c r="BC4" s="353">
        <f t="shared" si="0"/>
        <v>18</v>
      </c>
      <c r="BD4" s="348">
        <f t="shared" si="0"/>
        <v>19</v>
      </c>
      <c r="BE4" s="348">
        <f t="shared" si="0"/>
        <v>20</v>
      </c>
      <c r="BF4" s="244">
        <f t="shared" si="0"/>
        <v>21</v>
      </c>
      <c r="BG4" s="348">
        <f t="shared" si="0"/>
        <v>22</v>
      </c>
      <c r="BH4" s="348">
        <f t="shared" si="0"/>
        <v>23</v>
      </c>
      <c r="BI4" s="348">
        <f t="shared" si="0"/>
        <v>24</v>
      </c>
      <c r="BJ4" s="348">
        <f t="shared" si="0"/>
        <v>25</v>
      </c>
      <c r="BK4" s="348">
        <f t="shared" si="0"/>
        <v>26</v>
      </c>
      <c r="BN4" s="245"/>
      <c r="BO4" s="87"/>
      <c r="BP4" s="87"/>
      <c r="BQ4" s="87"/>
      <c r="BR4" s="87"/>
      <c r="BS4" s="87"/>
      <c r="BT4" s="87"/>
      <c r="BU4" s="87"/>
      <c r="BV4" s="87"/>
      <c r="BW4" s="246"/>
      <c r="BX4" s="87"/>
      <c r="BY4" s="87"/>
      <c r="BZ4" s="87"/>
      <c r="CA4" s="87"/>
      <c r="CB4" s="87"/>
      <c r="CC4" s="87"/>
      <c r="CD4" s="245"/>
      <c r="CE4" s="87"/>
      <c r="CF4" s="87"/>
      <c r="CG4" s="87"/>
      <c r="CH4" s="87"/>
      <c r="CI4" s="246"/>
    </row>
    <row r="5" spans="1:89" s="236" customFormat="1" ht="8.25">
      <c r="A5" s="801" t="s">
        <v>307</v>
      </c>
      <c r="B5" s="233">
        <f>SUM($C5:C$7)</f>
        <v>0</v>
      </c>
      <c r="C5" s="247" t="b">
        <f t="shared" ref="C5:C12" si="1">IF(ISTEXT(D5),1)</f>
        <v>0</v>
      </c>
      <c r="D5" s="799"/>
      <c r="E5" s="800"/>
      <c r="F5" s="233"/>
      <c r="G5" s="233"/>
      <c r="H5" s="231"/>
      <c r="I5" s="231"/>
      <c r="J5" s="231"/>
      <c r="K5" s="231"/>
      <c r="L5" s="231"/>
      <c r="M5" s="231">
        <f>IF(F5&lt;=1966,'[2]Założenia,wskaźniki, listy'!$H$4,IF(F5&gt;1966,IF(F5&lt;=1985,'[2]Założenia,wskaźniki, listy'!$H$5,IF(F5&gt;1985,IF(F5&lt;=1992,'[2]Założenia,wskaźniki, listy'!$H$6,IF(F5&gt;1992,IF(F5&lt;=1996,'[2]Założenia,wskaźniki, listy'!$H$7,IF(F5&gt;1996,IF(F5&lt;=2013,'[2]Założenia,wskaźniki, listy'!$H$8)))))))))</f>
        <v>290</v>
      </c>
      <c r="N5" s="231"/>
      <c r="O5" s="231"/>
      <c r="P5" s="231"/>
      <c r="Q5" s="232"/>
      <c r="R5" s="232"/>
      <c r="S5" s="232"/>
      <c r="T5" s="231"/>
      <c r="U5" s="354">
        <f t="shared" ref="U5:U7" si="2">IF(V5&gt;0,(W5+X5+V5)/2,W5+X5)</f>
        <v>0</v>
      </c>
      <c r="V5" s="355">
        <f>IF(N5="kompletna",M5*G5*0.0036*'[2]Założenia,wskaźniki, listy'!$H$13,IF(N5="częściowa",M5*G5*0.0036*'[2]Założenia,wskaźniki, listy'!$H$14,IF(N5="brak",M5*G5*0.0036*'[2]Założenia,wskaźniki, listy'!$H$15,0)))</f>
        <v>0</v>
      </c>
      <c r="W5" s="182">
        <f>K5*'[2]Założenia,wskaźniki, listy'!$L$16</f>
        <v>0</v>
      </c>
      <c r="X5" s="182">
        <f>IF(O5="węgiel",P5*'[2]Założenia,wskaźniki, listy'!$B$4,IF(O5="gaz",P5*'[2]Założenia,wskaźniki, listy'!$B$5,IF(O5="drewno",P5*'[2]Założenia,wskaźniki, listy'!$B$6,IF(O5="pelet",P5*'[2]Założenia,wskaźniki, listy'!$B$7,IF(O5="olej opałowy",P5*'[2]Założenia,wskaźniki, listy'!$B$8,IF(O5="sieć ciepłownicza",0,0))))))</f>
        <v>0</v>
      </c>
      <c r="Y5" s="182">
        <f>IF(O5="węgiel",X5*'[2]Założenia,wskaźniki, listy'!$C$44,IF(O5="gaz",X5*'[2]Założenia,wskaźniki, listy'!$D$44,IF(O5="drewno",X5*'[2]Założenia,wskaźniki, listy'!$E$44,IF(O5="pelet",X5*'[2]Założenia,wskaźniki, listy'!$F$44,IF(O5="olej opałowy",X5*'[2]Założenia,wskaźniki, listy'!$G$44,IF(O5="sieć ciepłownicza",0,IF(O5="prąd",0,0)))))))</f>
        <v>0</v>
      </c>
      <c r="Z5" s="182">
        <f>IF(O5="węgiel",X5*'[2]Założenia,wskaźniki, listy'!$C$45,IF(O5="gaz",X5*'[2]Założenia,wskaźniki, listy'!$D$45,IF(O5="drewno",X5*'[2]Założenia,wskaźniki, listy'!$E$45,IF(O5="pelet",X5*'[2]Założenia,wskaźniki, listy'!$F$45,IF(O5="olej opałowy",X5*'[2]Założenia,wskaźniki, listy'!$G$45,IF(O5="sieć ciepłownicza",0,IF(O5="prąd",0,0)))))))</f>
        <v>0</v>
      </c>
      <c r="AA5" s="182">
        <f>IF(O5="węgiel",X5*'[2]Założenia,wskaźniki, listy'!$C$46,IF(O5="gaz",X5*'[2]Założenia,wskaźniki, listy'!$D$46,IF(O5="drewno",X5*'[2]Założenia,wskaźniki, listy'!$E$46,IF(O5="pelet",X5*'[2]Założenia,wskaźniki, listy'!$F$46,IF(O5="olej opałowy",X5*'[2]Założenia,wskaźniki, listy'!$G$46,IF(O5="sieć ciepłownicza",0,IF(O5="prąd",0,0)))))))</f>
        <v>0</v>
      </c>
      <c r="AB5" s="182">
        <f>IF(O5="węgiel",X5*'[2]Założenia,wskaźniki, listy'!$C$47,IF(O5="gaz",X5*'[2]Założenia,wskaźniki, listy'!$D$47,IF(O5="drewno",X5*'[2]Założenia,wskaźniki, listy'!$E$47,IF(O5="pelet",X5*'[2]Założenia,wskaźniki, listy'!$F$47,IF(O5="olej opałowy",X5*'[2]Założenia,wskaźniki, listy'!$G$47,IF(O5="sieć ciepłownicza",0,IF(O5="prąd",0,0)))))))</f>
        <v>0</v>
      </c>
      <c r="AC5" s="182">
        <f>IF(O5="węgiel",X5*'[2]Założenia,wskaźniki, listy'!$C$48,IF(O5="gaz",X5*'[2]Założenia,wskaźniki, listy'!$D$48,IF(O5="drewno",X5*'[2]Założenia,wskaźniki, listy'!$E$48,IF(O5="pelet",X5*'[2]Założenia,wskaźniki, listy'!$F$48,IF(O5="olej opałowy",X5*'[2]Założenia,wskaźniki, listy'!$G$48,IF(O5="sieć ciepłownicza",0,IF(O5="prąd",0,0)))))))</f>
        <v>0</v>
      </c>
      <c r="AD5" s="182">
        <f>IF(O5="węgiel",X5*'[2]Założenia,wskaźniki, listy'!$C$49,IF(O5="gaz",X5*'[2]Założenia,wskaźniki, listy'!$D$49,IF(O5="drewno",X5*'[2]Założenia,wskaźniki, listy'!$E$49,IF(O5="pelet",X5*'[2]Założenia,wskaźniki, listy'!$F$49,IF(O5="olej opałowy",X5*'[2]Założenia,wskaźniki, listy'!$G$49,IF(O5="sieć ciepłownicza",0,IF(O5="prąd",0,0)))))))</f>
        <v>0</v>
      </c>
      <c r="AE5" s="182">
        <f>IF(O5="węgiel",X5*'[2]Założenia,wskaźniki, listy'!$C$50,IF(O5="gaz",X5*'[2]Założenia,wskaźniki, listy'!$D$50,IF(O5="drewno",X5*'[2]Założenia,wskaźniki, listy'!$E$50,IF(O5="pelet",X5*'[2]Założenia,wskaźniki, listy'!$F$50,IF(O5="olej opałowy",X5*'[2]Założenia,wskaźniki, listy'!$G$50,IF(O5="sieć ciepłownicza",0,IF(O5="prąd",0,0)))))))</f>
        <v>0</v>
      </c>
      <c r="AF5" s="339">
        <f>IF(O5="węgiel",X5*[2]Z!$C$44,IF(O5="gaz",X5*[2]Z!$D$44,IF(O5="drewno",X5*[2]Z!$E$44,IF(O5="pelet",X5*[2]Z!$F$44,IF(O5="olej opałowy",X5*[2]Z!$G$44,IF(O5="sieć ciepłownicza",0,IF(O5="prąd",0,0)))))))</f>
        <v>0</v>
      </c>
      <c r="AG5" s="339">
        <f>IF(O5="węgiel",X5*[2]Z!$C$45,IF(O5="gaz",X5*[2]Z!$D$45,IF(O5="drewno",X5*[2]Z!$E$45,IF(O5="pelet",X5*[2]Z!$F$45,IF(O5="olej opałowy",X5*[2]Z!$G$45,IF(O5="sieć ciepłownicza",0,IF(O5="prąd",0,0)))))))</f>
        <v>0</v>
      </c>
      <c r="AH5" s="339">
        <f>IF(O5="węgiel",X5*[2]Z!$C$46,IF(O5="gaz",X5*[2]Z!$D$46,IF(O5="drewno",X5*[2]Z!$E$46,IF(O5="pelet",X5*[2]Z!$F$46,IF(O5="olej opałowy",X5*[2]Z!$G$46,IF(O5="sieć ciepłownicza",0,IF(O5="prąd",0,0)))))))</f>
        <v>0</v>
      </c>
      <c r="AI5" s="339">
        <f>IF(O5="węgiel",X5*[2]Z!$C$47,IF(O5="gaz",X5*[2]Z!$D$47,IF(O5="drewno",X5*[2]Z!$E$47,IF(O5="pelet",X5*[2]Z!$F$47,IF(O5="olej opałowy",X5*[2]Z!$G$47,IF(O5="sieć ciepłownicza",0,IF(O5="prąd",0,0)))))))</f>
        <v>0</v>
      </c>
      <c r="AJ5" s="339">
        <f>IF(O5="węgiel",X5*[2]Z!$C$48,IF(O5="gaz",X5*[2]Z!$D$48,IF(O5="drewno",X5*[2]Z!$E$48,IF(O5="pelet",X5*[2]Z!$F$48,IF(O5="olej opałowy",X5*[2]Z!$G$48,IF(O5="sieć ciepłownicza",0,IF(O5="prąd",0,0)))))))</f>
        <v>0</v>
      </c>
      <c r="AK5" s="339">
        <f>IF(O5="węgiel",X5*[2]Z!$C$49,IF(O5="gaz",X5*[2]Z!$D$49,IF(O5="drewno",X5*[2]Z!$E$49,IF(O5="pelet",X5*[2]Z!$F$49,IF(O5="olej opałowy",X5*[2]Z!$G$49,IF(O5="sieć ciepłownicza",0,IF(O5="prąd",0,0)))))))</f>
        <v>0</v>
      </c>
      <c r="AL5" s="339">
        <f>IF(O5="węgiel",X5*[2]Z!$C$50,IF(O5="gaz",X5*[2]Z!$D$50,IF(O5="drewno",X5*[2]Z!$E$50,IF(O5="pelet",X5*[2]Z!$F$50,IF(O5="olej opałowy",X5*[2]Z!$G$50,IF(O5="sieć ciepłownicza",0,IF(O5="prąd",0,0)))))))</f>
        <v>0</v>
      </c>
      <c r="AM5" s="182">
        <f>IF(T5="węgiel",W5*'[2]Założenia,wskaźniki, listy'!$C$44,IF(T5="gaz",W5*'[2]Założenia,wskaźniki, listy'!$D$44,IF(T5="drewno",W5*'[2]Założenia,wskaźniki, listy'!$E$44,IF(T5="pelet",W5*'[2]Założenia,wskaźniki, listy'!$F$44,IF(T5="olej opałowy",W5*'[2]Założenia,wskaźniki, listy'!$G$44,IF(T5="sieć ciepłownicza",0,IF(T5="prąd",0,0)))))))</f>
        <v>0</v>
      </c>
      <c r="AN5" s="182">
        <f>IF(U5="węgiel",X5*'[2]Założenia,wskaźniki, listy'!$C$45,IF(U5="gaz",X5*'[2]Założenia,wskaźniki, listy'!$D$45,IF(U5="drewno",X5*'[2]Założenia,wskaźniki, listy'!$E$45,IF(U5="pelet",X5*'[2]Założenia,wskaźniki, listy'!$F$45,IF(U5="olej opałowy",X5*'[2]Założenia,wskaźniki, listy'!$G$45,IF(U5="sieć ciepłownicza",0,IF(U5="prąd",0,0)))))))</f>
        <v>0</v>
      </c>
      <c r="AO5" s="182">
        <f>IF(U5="węgiel",X5*'[2]Założenia,wskaźniki, listy'!$C$46,IF(U5="gaz",X5*'[2]Założenia,wskaźniki, listy'!$D$46,IF(U5="drewno",X5*'[2]Założenia,wskaźniki, listy'!$E$46,IF(U5="pelet",X5*'[2]Założenia,wskaźniki, listy'!$F$46,IF(U5="olej opałowy",X5*'[2]Założenia,wskaźniki, listy'!$G$46,IF(U5="sieć ciepłownicza",0,IF(U5="prąd",0,0)))))))</f>
        <v>0</v>
      </c>
      <c r="AP5" s="182">
        <f>IF(U5="węgiel",X5*'[2]Założenia,wskaźniki, listy'!$C$47,IF(U5="gaz",X5*'[2]Założenia,wskaźniki, listy'!$D$47,IF(U5="drewno",X5*'[2]Założenia,wskaźniki, listy'!$E$47,IF(U5="pelet",X5*'[2]Założenia,wskaźniki, listy'!$F$47,IF(U5="olej opałowy",X5*'[2]Założenia,wskaźniki, listy'!$G$47,IF(U5="sieć ciepłownicza",0,IF(U5="prąd",0,0)))))))</f>
        <v>0</v>
      </c>
      <c r="AQ5" s="182">
        <f>IF(U5="węgiel",X5*'[2]Założenia,wskaźniki, listy'!$C$48,IF(U5="gaz",X5*'[2]Założenia,wskaźniki, listy'!$D$48,IF(U5="drewno",X5*'[2]Założenia,wskaźniki, listy'!$E$48,IF(U5="pelet",X5*'[2]Założenia,wskaźniki, listy'!$F$48,IF(U5="olej opałowy",X5*'[2]Założenia,wskaźniki, listy'!$G$48,IF(U5="sieć ciepłownicza",0,IF(U5="prąd",0,0)))))))</f>
        <v>0</v>
      </c>
      <c r="AR5" s="182">
        <f>IF(U5="węgiel",X5*'[2]Założenia,wskaźniki, listy'!$C$49,IF(U5="gaz",X5*'[2]Założenia,wskaźniki, listy'!$D$49,IF(U5="drewno",X5*'[2]Założenia,wskaźniki, listy'!$E$49,IF(U5="pelet",X5*'[2]Założenia,wskaźniki, listy'!$F$49,IF(U5="olej opałowy",X5*'[2]Założenia,wskaźniki, listy'!$G$49,IF(U5="sieć ciepłownicza",0,IF(U5="prąd",0,0)))))))</f>
        <v>0</v>
      </c>
      <c r="AS5" s="182">
        <f>IF(U5="węgiel",X5*'[2]Założenia,wskaźniki, listy'!$C$50,IF(U5="gaz",X5*'[2]Założenia,wskaźniki, listy'!$D$50,IF(U5="drewno",X5*'[2]Założenia,wskaźniki, listy'!$E$50,IF(U5="pelet",X5*'[2]Założenia,wskaźniki, listy'!$F$50,IF(U5="olej opałowy",X5*'[2]Założenia,wskaźniki, listy'!$G$50,IF(U5="sieć ciepłownicza",0,IF(U5="prąd",0,0)))))))</f>
        <v>0</v>
      </c>
      <c r="AT5" s="182">
        <f t="shared" ref="AT5:AT12" si="3">U5</f>
        <v>0</v>
      </c>
      <c r="AU5" s="182"/>
      <c r="AV5" s="182">
        <v>0</v>
      </c>
      <c r="AW5" s="182">
        <v>0</v>
      </c>
      <c r="AX5" s="182">
        <f>AU5*1.19</f>
        <v>0</v>
      </c>
      <c r="AY5" s="182">
        <v>0</v>
      </c>
      <c r="AZ5" s="182">
        <v>0</v>
      </c>
      <c r="BA5" s="182">
        <v>0</v>
      </c>
      <c r="BB5" s="182">
        <v>0</v>
      </c>
      <c r="BC5" s="71"/>
      <c r="BD5" s="183"/>
      <c r="BE5" s="349"/>
      <c r="BF5" s="183"/>
      <c r="BG5" s="183"/>
      <c r="BH5" s="183"/>
      <c r="BI5" s="183"/>
      <c r="BJ5" s="183"/>
      <c r="BK5" s="249"/>
      <c r="BN5" s="245">
        <f t="shared" ref="BN5:BN12" si="4">IF(F5&lt;=1966,G5)</f>
        <v>0</v>
      </c>
      <c r="BO5" s="87" t="b">
        <f t="shared" ref="BO5:BO12" si="5">IF(N5="kompletna",BN5,IF(N5="częściowa",0.5*BN5))</f>
        <v>0</v>
      </c>
      <c r="BP5" s="87" t="b">
        <f t="shared" ref="BP5:BP12" si="6">IF(F5&gt;1966,IF(F5&lt;=1985,G5))</f>
        <v>0</v>
      </c>
      <c r="BQ5" s="87" t="b">
        <f t="shared" ref="BQ5:BQ12" si="7">IF(N5="kompletna",BP5,IF(N5="częściowa",0.5*BP5))</f>
        <v>0</v>
      </c>
      <c r="BR5" s="87" t="b">
        <f t="shared" ref="BR5:BR12" si="8">IF(F5&gt;1985,IF(F5&lt;=1992,G5))</f>
        <v>0</v>
      </c>
      <c r="BS5" s="87" t="b">
        <f t="shared" ref="BS5:BS12" si="9">IF(N5="kompletna",BR5,IF(N5="częściowa",0.5*BR5))</f>
        <v>0</v>
      </c>
      <c r="BT5" s="87" t="b">
        <f t="shared" ref="BT5:BT12" si="10">IF(F5&gt;1992,IF(F5&lt;=1996,G5))</f>
        <v>0</v>
      </c>
      <c r="BU5" s="87" t="b">
        <f t="shared" ref="BU5:BU12" si="11">IF(N5="kompletna",BT5,IF(N5="częściowa",0.5*BT5))</f>
        <v>0</v>
      </c>
      <c r="BV5" s="87" t="b">
        <f t="shared" ref="BV5:BV12" si="12">IF(F5&gt;1996,IF(F5&lt;=2014,G5))</f>
        <v>0</v>
      </c>
      <c r="BW5" s="246" t="b">
        <f t="shared" ref="BW5:BW12" si="13">IF(N5="kompletna",BV5,IF(N5="częściowa",0.5*BV5))</f>
        <v>0</v>
      </c>
      <c r="BX5" s="87" t="b">
        <f t="shared" ref="BX5:BX12" si="14">IF(O5="węgiel",X5)</f>
        <v>0</v>
      </c>
      <c r="BY5" s="87" t="b">
        <f t="shared" ref="BY5:BY12" si="15">IF(O5="gaz",U5)</f>
        <v>0</v>
      </c>
      <c r="BZ5" s="87" t="b">
        <f t="shared" ref="BZ5:BZ12" si="16">IF(O5="drewno",X5)</f>
        <v>0</v>
      </c>
      <c r="CA5" s="87" t="b">
        <f t="shared" ref="CA5:CA12" si="17">IF(O5="pelet",X5)</f>
        <v>0</v>
      </c>
      <c r="CB5" s="87" t="b">
        <f t="shared" ref="CB5:CB12" si="18">IF(O5="olej opałowy",X5)</f>
        <v>0</v>
      </c>
      <c r="CC5" s="87" t="b">
        <f t="shared" ref="CC5:CC12" si="19">IF(O5="prąd",U5)</f>
        <v>0</v>
      </c>
      <c r="CD5" s="245" t="b">
        <f t="shared" ref="CD5:CD12" si="20">IF(T5="węgiel",W5)</f>
        <v>0</v>
      </c>
      <c r="CE5" s="87" t="b">
        <f t="shared" ref="CE5:CE12" si="21">IF(T5="gaz",W5)</f>
        <v>0</v>
      </c>
      <c r="CF5" s="87" t="b">
        <f t="shared" ref="CF5:CF12" si="22">IF(T5="drewno",W5)</f>
        <v>0</v>
      </c>
      <c r="CG5" s="87" t="b">
        <f t="shared" ref="CG5:CG12" si="23">IF(T5="pelet",W5)</f>
        <v>0</v>
      </c>
      <c r="CH5" s="87" t="b">
        <f t="shared" ref="CH5:CH12" si="24">IF(T5="olej opałowy",W5)</f>
        <v>0</v>
      </c>
      <c r="CI5" s="246" t="b">
        <f t="shared" ref="CI5:CI12" si="25">IF(T5="prąd",W5)</f>
        <v>0</v>
      </c>
    </row>
    <row r="6" spans="1:89" s="236" customFormat="1" ht="8.25">
      <c r="A6" s="796"/>
      <c r="B6" s="234">
        <f>SUM($C6:C$7)</f>
        <v>0</v>
      </c>
      <c r="C6" s="347" t="b">
        <f t="shared" si="1"/>
        <v>0</v>
      </c>
      <c r="D6" s="798"/>
      <c r="E6" s="798"/>
      <c r="F6" s="234"/>
      <c r="G6" s="234"/>
      <c r="H6" s="71"/>
      <c r="I6" s="71"/>
      <c r="J6" s="71"/>
      <c r="K6" s="71"/>
      <c r="L6" s="71"/>
      <c r="M6" s="71">
        <f>IF(F6&lt;=1966,'[2]Założenia,wskaźniki, listy'!$H$4,IF(F6&gt;1966,IF(F6&lt;=1985,'[2]Założenia,wskaźniki, listy'!$H$5,IF(F6&gt;1985,IF(F6&lt;=1992,'[2]Założenia,wskaźniki, listy'!$H$6,IF(F6&gt;1992,IF(F6&lt;=1996,'[2]Założenia,wskaźniki, listy'!$H$7,IF(F6&gt;1996,IF(F6&lt;=2013,'[2]Założenia,wskaźniki, listy'!$H$8)))))))))</f>
        <v>290</v>
      </c>
      <c r="N6" s="71"/>
      <c r="O6" s="231"/>
      <c r="P6" s="71"/>
      <c r="Q6" s="183"/>
      <c r="R6" s="183"/>
      <c r="S6" s="183"/>
      <c r="T6" s="71"/>
      <c r="U6" s="213">
        <f t="shared" si="2"/>
        <v>0</v>
      </c>
      <c r="V6" s="227">
        <f>IF(N6="kompletna",M6*G6*0.0036*'[2]Założenia,wskaźniki, listy'!$H$13,IF(N6="częściowa",M6*G6*0.0036*'[2]Założenia,wskaźniki, listy'!$H$14,IF(N6="brak",M6*G6*0.0036*'[2]Założenia,wskaźniki, listy'!$H$15,0)))</f>
        <v>0</v>
      </c>
      <c r="W6" s="172">
        <f>K6*'[2]Założenia,wskaźniki, listy'!$L$16</f>
        <v>0</v>
      </c>
      <c r="X6" s="182">
        <f>IF(O6="węgiel",P6*'[2]Założenia,wskaźniki, listy'!$B$4,IF(O6="gaz",P6*'[2]Założenia,wskaźniki, listy'!$B$5,IF(O6="drewno",P6*'[2]Założenia,wskaźniki, listy'!$B$6,IF(O6="pelet",P6*'[2]Założenia,wskaźniki, listy'!$B$7,IF(O6="olej opałowy",P6*'[2]Założenia,wskaźniki, listy'!$B$8,IF(O6="sieć ciepłownicza",0,0))))))</f>
        <v>0</v>
      </c>
      <c r="Y6" s="182">
        <f>IF(O6="węgiel",X6*'[2]Założenia,wskaźniki, listy'!$C$44,IF(O6="gaz",X6*'[2]Założenia,wskaźniki, listy'!$D$44,IF(O6="drewno",X6*'[2]Założenia,wskaźniki, listy'!$E$44,IF(O6="pelet",X6*'[2]Założenia,wskaźniki, listy'!$F$44,IF(O6="olej opałowy",X6*'[2]Założenia,wskaźniki, listy'!$G$44,IF(O6="sieć ciepłownicza",0,IF(O6="prąd",0,0)))))))</f>
        <v>0</v>
      </c>
      <c r="Z6" s="182">
        <f>IF(O6="węgiel",X6*'[2]Założenia,wskaźniki, listy'!$C$45,IF(O6="gaz",X6*'[2]Założenia,wskaźniki, listy'!$D$45,IF(O6="drewno",X6*'[2]Założenia,wskaźniki, listy'!$E$45,IF(O6="pelet",X6*'[2]Założenia,wskaźniki, listy'!$F$45,IF(O6="olej opałowy",X6*'[2]Założenia,wskaźniki, listy'!$G$45,IF(O6="sieć ciepłownicza",0,IF(O6="prąd",0,0)))))))</f>
        <v>0</v>
      </c>
      <c r="AA6" s="182">
        <f>IF(O6="węgiel",X6*'[2]Założenia,wskaźniki, listy'!$C$46,IF(O6="gaz",X6*'[2]Założenia,wskaźniki, listy'!$D$46,IF(O6="drewno",X6*'[2]Założenia,wskaźniki, listy'!$E$46,IF(O6="pelet",X6*'[2]Założenia,wskaźniki, listy'!$F$46,IF(O6="olej opałowy",X6*'[2]Założenia,wskaźniki, listy'!$G$46,IF(O6="sieć ciepłownicza",0,IF(O6="prąd",0,0)))))))</f>
        <v>0</v>
      </c>
      <c r="AB6" s="182">
        <f>IF(O6="węgiel",X6*'[2]Założenia,wskaźniki, listy'!$C$47,IF(O6="gaz",X6*'[2]Założenia,wskaźniki, listy'!$D$47,IF(O6="drewno",X6*'[2]Założenia,wskaźniki, listy'!$E$47,IF(O6="pelet",X6*'[2]Założenia,wskaźniki, listy'!$F$47,IF(O6="olej opałowy",X6*'[2]Założenia,wskaźniki, listy'!$G$47,IF(O6="sieć ciepłownicza",0,IF(O6="prąd",0,0)))))))</f>
        <v>0</v>
      </c>
      <c r="AC6" s="182">
        <f>IF(O6="węgiel",X6*'[2]Założenia,wskaźniki, listy'!$C$48,IF(O6="gaz",X6*'[2]Założenia,wskaźniki, listy'!$D$48,IF(O6="drewno",X6*'[2]Założenia,wskaźniki, listy'!$E$48,IF(O6="pelet",X6*'[2]Założenia,wskaźniki, listy'!$F$48,IF(O6="olej opałowy",X6*'[2]Założenia,wskaźniki, listy'!$G$48,IF(O6="sieć ciepłownicza",0,IF(O6="prąd",0,0)))))))</f>
        <v>0</v>
      </c>
      <c r="AD6" s="182">
        <f>IF(O6="węgiel",X6*'[2]Założenia,wskaźniki, listy'!$C$49,IF(O6="gaz",X6*'[2]Założenia,wskaźniki, listy'!$D$49,IF(O6="drewno",X6*'[2]Założenia,wskaźniki, listy'!$E$49,IF(O6="pelet",X6*'[2]Założenia,wskaźniki, listy'!$F$49,IF(O6="olej opałowy",X6*'[2]Założenia,wskaźniki, listy'!$G$49,IF(O6="sieć ciepłownicza",0,IF(O6="prąd",0,0)))))))</f>
        <v>0</v>
      </c>
      <c r="AE6" s="182">
        <f>IF(O6="węgiel",X6*'[2]Założenia,wskaźniki, listy'!$C$50,IF(O6="gaz",X6*'[2]Założenia,wskaźniki, listy'!$D$50,IF(O6="drewno",X6*'[2]Założenia,wskaźniki, listy'!$E$50,IF(O6="pelet",X6*'[2]Założenia,wskaźniki, listy'!$F$50,IF(O6="olej opałowy",X6*'[2]Założenia,wskaźniki, listy'!$G$50,IF(O6="sieć ciepłownicza",0,IF(O6="prąd",0,0)))))))</f>
        <v>0</v>
      </c>
      <c r="AF6" s="339">
        <f>IF(O6="węgiel",X6*[2]Z!$C$44,IF(O6="gaz",X6*[2]Z!$D$44,IF(O6="drewno",X6*[2]Z!$E$44,IF(O6="pelet",X6*[2]Z!$F$44,IF(O6="olej opałowy",X6*[2]Z!$G$44,IF(O6="sieć ciepłownicza",0,IF(O6="prąd",0,0)))))))</f>
        <v>0</v>
      </c>
      <c r="AG6" s="339">
        <f>IF(O6="węgiel",X6*[2]Z!$C$45,IF(O6="gaz",X6*[2]Z!$D$45,IF(O6="drewno",X6*[2]Z!$E$45,IF(O6="pelet",X6*[2]Z!$F$45,IF(O6="olej opałowy",X6*[2]Z!$G$45,IF(O6="sieć ciepłownicza",0,IF(O6="prąd",0,0)))))))</f>
        <v>0</v>
      </c>
      <c r="AH6" s="339">
        <f>IF(O6="węgiel",X6*[2]Z!$C$46,IF(O6="gaz",X6*[2]Z!$D$46,IF(O6="drewno",X6*[2]Z!$E$46,IF(O6="pelet",X6*[2]Z!$F$46,IF(O6="olej opałowy",X6*[2]Z!$G$46,IF(O6="sieć ciepłownicza",0,IF(O6="prąd",0,0)))))))</f>
        <v>0</v>
      </c>
      <c r="AI6" s="339">
        <f>IF(O6="węgiel",X6*[2]Z!$C$47,IF(O6="gaz",X6*[2]Z!$D$47,IF(O6="drewno",X6*[2]Z!$E$47,IF(O6="pelet",X6*[2]Z!$F$47,IF(O6="olej opałowy",X6*[2]Z!$G$47,IF(O6="sieć ciepłownicza",0,IF(O6="prąd",0,0)))))))</f>
        <v>0</v>
      </c>
      <c r="AJ6" s="339">
        <f>IF(O6="węgiel",X6*[2]Z!$C$48,IF(O6="gaz",X6*[2]Z!$D$48,IF(O6="drewno",X6*[2]Z!$E$48,IF(O6="pelet",X6*[2]Z!$F$48,IF(O6="olej opałowy",X6*[2]Z!$G$48,IF(O6="sieć ciepłownicza",0,IF(O6="prąd",0,0)))))))</f>
        <v>0</v>
      </c>
      <c r="AK6" s="339">
        <f>IF(O6="węgiel",X6*[2]Z!$C$49,IF(O6="gaz",X6*[2]Z!$D$49,IF(O6="drewno",X6*[2]Z!$E$49,IF(O6="pelet",X6*[2]Z!$F$49,IF(O6="olej opałowy",X6*[2]Z!$G$49,IF(O6="sieć ciepłownicza",0,IF(O6="prąd",0,0)))))))</f>
        <v>0</v>
      </c>
      <c r="AL6" s="339">
        <f>IF(O6="węgiel",X6*[2]Z!$C$50,IF(O6="gaz",X6*[2]Z!$D$50,IF(O6="drewno",X6*[2]Z!$E$50,IF(O6="pelet",X6*[2]Z!$F$50,IF(O6="olej opałowy",X6*[2]Z!$G$50,IF(O6="sieć ciepłownicza",0,IF(O6="prąd",0,0)))))))</f>
        <v>0</v>
      </c>
      <c r="AM6" s="172">
        <f>IF(T6="węgiel",W6*'[2]Założenia,wskaźniki, listy'!$C$44,IF(T6="gaz",W6*'[2]Założenia,wskaźniki, listy'!$D$44,IF(T6="drewno",W6*'[2]Założenia,wskaźniki, listy'!$E$44,IF(T6="pelet",W6*'[2]Założenia,wskaźniki, listy'!$F$44,IF(T6="olej opałowy",W6*'[2]Założenia,wskaźniki, listy'!$G$44,IF(T6="sieć ciepłownicza",0,IF(T6="prąd",0,0)))))))</f>
        <v>0</v>
      </c>
      <c r="AN6" s="172">
        <f>IF(U6="węgiel",X6*'[2]Założenia,wskaźniki, listy'!$C$45,IF(U6="gaz",X6*'[2]Założenia,wskaźniki, listy'!$D$45,IF(U6="drewno",X6*'[2]Założenia,wskaźniki, listy'!$E$45,IF(U6="pelet",X6*'[2]Założenia,wskaźniki, listy'!$F$45,IF(U6="olej opałowy",X6*'[2]Założenia,wskaźniki, listy'!$G$45,IF(U6="sieć ciepłownicza",0,IF(U6="prąd",0,0)))))))</f>
        <v>0</v>
      </c>
      <c r="AO6" s="172">
        <f>IF(U6="węgiel",X6*'[2]Założenia,wskaźniki, listy'!$C$46,IF(U6="gaz",X6*'[2]Założenia,wskaźniki, listy'!$D$46,IF(U6="drewno",X6*'[2]Założenia,wskaźniki, listy'!$E$46,IF(U6="pelet",X6*'[2]Założenia,wskaźniki, listy'!$F$46,IF(U6="olej opałowy",X6*'[2]Założenia,wskaźniki, listy'!$G$46,IF(U6="sieć ciepłownicza",0,IF(U6="prąd",0,0)))))))</f>
        <v>0</v>
      </c>
      <c r="AP6" s="172">
        <f>IF(U6="węgiel",X6*'[2]Założenia,wskaźniki, listy'!$C$47,IF(U6="gaz",X6*'[2]Założenia,wskaźniki, listy'!$D$47,IF(U6="drewno",X6*'[2]Założenia,wskaźniki, listy'!$E$47,IF(U6="pelet",X6*'[2]Założenia,wskaźniki, listy'!$F$47,IF(U6="olej opałowy",X6*'[2]Założenia,wskaźniki, listy'!$G$47,IF(U6="sieć ciepłownicza",0,IF(U6="prąd",0,0)))))))</f>
        <v>0</v>
      </c>
      <c r="AQ6" s="172">
        <f>IF(U6="węgiel",X6*'[2]Założenia,wskaźniki, listy'!$C$48,IF(U6="gaz",X6*'[2]Założenia,wskaźniki, listy'!$D$48,IF(U6="drewno",X6*'[2]Założenia,wskaźniki, listy'!$E$48,IF(U6="pelet",X6*'[2]Założenia,wskaźniki, listy'!$F$48,IF(U6="olej opałowy",X6*'[2]Założenia,wskaźniki, listy'!$G$48,IF(U6="sieć ciepłownicza",0,IF(U6="prąd",0,0)))))))</f>
        <v>0</v>
      </c>
      <c r="AR6" s="172">
        <f>IF(U6="węgiel",X6*'[2]Założenia,wskaźniki, listy'!$C$49,IF(U6="gaz",X6*'[2]Założenia,wskaźniki, listy'!$D$49,IF(U6="drewno",X6*'[2]Założenia,wskaźniki, listy'!$E$49,IF(U6="pelet",X6*'[2]Założenia,wskaźniki, listy'!$F$49,IF(U6="olej opałowy",X6*'[2]Założenia,wskaźniki, listy'!$G$49,IF(U6="sieć ciepłownicza",0,IF(U6="prąd",0,0)))))))</f>
        <v>0</v>
      </c>
      <c r="AS6" s="172">
        <f>IF(U6="węgiel",X6*'[2]Założenia,wskaźniki, listy'!$C$50,IF(U6="gaz",X6*'[2]Założenia,wskaźniki, listy'!$D$50,IF(U6="drewno",X6*'[2]Założenia,wskaźniki, listy'!$E$50,IF(U6="pelet",X6*'[2]Założenia,wskaźniki, listy'!$F$50,IF(U6="olej opałowy",X6*'[2]Założenia,wskaźniki, listy'!$G$50,IF(U6="sieć ciepłownicza",0,IF(U6="prąd",0,0)))))))</f>
        <v>0</v>
      </c>
      <c r="AT6" s="172">
        <f t="shared" si="3"/>
        <v>0</v>
      </c>
      <c r="AU6" s="172"/>
      <c r="AV6" s="182">
        <v>0</v>
      </c>
      <c r="AW6" s="182">
        <v>0</v>
      </c>
      <c r="AX6" s="182">
        <f>AU6*1.19</f>
        <v>0</v>
      </c>
      <c r="AY6" s="182">
        <v>0</v>
      </c>
      <c r="AZ6" s="182">
        <v>0</v>
      </c>
      <c r="BA6" s="182">
        <v>0</v>
      </c>
      <c r="BB6" s="182">
        <v>0</v>
      </c>
      <c r="BC6" s="71"/>
      <c r="BD6" s="183"/>
      <c r="BE6" s="349"/>
      <c r="BF6" s="183"/>
      <c r="BG6" s="183"/>
      <c r="BH6" s="183"/>
      <c r="BI6" s="183"/>
      <c r="BJ6" s="183"/>
      <c r="BK6" s="249"/>
      <c r="BN6" s="245">
        <f t="shared" si="4"/>
        <v>0</v>
      </c>
      <c r="BO6" s="87" t="b">
        <f t="shared" si="5"/>
        <v>0</v>
      </c>
      <c r="BP6" s="87" t="b">
        <f t="shared" si="6"/>
        <v>0</v>
      </c>
      <c r="BQ6" s="87" t="b">
        <f t="shared" si="7"/>
        <v>0</v>
      </c>
      <c r="BR6" s="87" t="b">
        <f t="shared" si="8"/>
        <v>0</v>
      </c>
      <c r="BS6" s="87" t="b">
        <f t="shared" si="9"/>
        <v>0</v>
      </c>
      <c r="BT6" s="87" t="b">
        <f t="shared" si="10"/>
        <v>0</v>
      </c>
      <c r="BU6" s="87" t="b">
        <f t="shared" si="11"/>
        <v>0</v>
      </c>
      <c r="BV6" s="87" t="b">
        <f t="shared" si="12"/>
        <v>0</v>
      </c>
      <c r="BW6" s="246" t="b">
        <f t="shared" si="13"/>
        <v>0</v>
      </c>
      <c r="BX6" s="87" t="b">
        <f t="shared" si="14"/>
        <v>0</v>
      </c>
      <c r="BY6" s="87" t="b">
        <f t="shared" si="15"/>
        <v>0</v>
      </c>
      <c r="BZ6" s="87" t="b">
        <f t="shared" si="16"/>
        <v>0</v>
      </c>
      <c r="CA6" s="87" t="b">
        <f t="shared" si="17"/>
        <v>0</v>
      </c>
      <c r="CB6" s="87" t="b">
        <f t="shared" si="18"/>
        <v>0</v>
      </c>
      <c r="CC6" s="87" t="b">
        <f t="shared" si="19"/>
        <v>0</v>
      </c>
      <c r="CD6" s="245" t="b">
        <f t="shared" si="20"/>
        <v>0</v>
      </c>
      <c r="CE6" s="87" t="b">
        <f t="shared" si="21"/>
        <v>0</v>
      </c>
      <c r="CF6" s="87" t="b">
        <f t="shared" si="22"/>
        <v>0</v>
      </c>
      <c r="CG6" s="87" t="b">
        <f t="shared" si="23"/>
        <v>0</v>
      </c>
      <c r="CH6" s="87" t="b">
        <f t="shared" si="24"/>
        <v>0</v>
      </c>
      <c r="CI6" s="246" t="b">
        <f t="shared" si="25"/>
        <v>0</v>
      </c>
    </row>
    <row r="7" spans="1:89" s="236" customFormat="1" ht="8.25">
      <c r="A7" s="346">
        <v>2</v>
      </c>
      <c r="B7" s="234">
        <f>SUM($C7:C$7)</f>
        <v>0</v>
      </c>
      <c r="C7" s="347" t="b">
        <f t="shared" si="1"/>
        <v>0</v>
      </c>
      <c r="D7" s="345"/>
      <c r="E7" s="234"/>
      <c r="F7" s="234"/>
      <c r="G7" s="234"/>
      <c r="H7" s="71"/>
      <c r="I7" s="71"/>
      <c r="J7" s="71"/>
      <c r="K7" s="71"/>
      <c r="L7" s="71"/>
      <c r="M7" s="71">
        <f>IF(F7&lt;=1966,'[2]Założenia,wskaźniki, listy'!$H$4,IF(F7&gt;1966,IF(F7&lt;=1985,'[2]Założenia,wskaźniki, listy'!$H$5,IF(F7&gt;1985,IF(F7&lt;=1992,'[2]Założenia,wskaźniki, listy'!$H$6,IF(F7&gt;1992,IF(F7&lt;=1996,'[2]Założenia,wskaźniki, listy'!$H$7,IF(F7&gt;1996,IF(F7&lt;=2013,'[2]Założenia,wskaźniki, listy'!$H$8)))))))))</f>
        <v>290</v>
      </c>
      <c r="N7" s="71"/>
      <c r="O7" s="231"/>
      <c r="P7" s="71"/>
      <c r="Q7" s="183"/>
      <c r="R7" s="183"/>
      <c r="S7" s="183" t="e">
        <f>(R7+#REF!)/2</f>
        <v>#REF!</v>
      </c>
      <c r="T7" s="71"/>
      <c r="U7" s="213">
        <f t="shared" si="2"/>
        <v>0</v>
      </c>
      <c r="V7" s="227">
        <f>IF(N7="kompletna",M7*G7*0.0036*'[2]Założenia,wskaźniki, listy'!$H$13,IF(N7="częściowa",M7*G7*0.0036*'[2]Założenia,wskaźniki, listy'!$H$14,IF(N7="brak",M7*G7*0.0036*'[2]Założenia,wskaźniki, listy'!$H$15,0)))</f>
        <v>0</v>
      </c>
      <c r="W7" s="172">
        <f>K7*'[2]Założenia,wskaźniki, listy'!$L$16</f>
        <v>0</v>
      </c>
      <c r="X7" s="182">
        <f>IF(O7="węgiel",P7*'[2]Założenia,wskaźniki, listy'!$B$4,IF(O7="gaz",P7*'[2]Założenia,wskaźniki, listy'!$B$5,IF(O7="drewno",P7*'[2]Założenia,wskaźniki, listy'!$B$6,IF(O7="pelet",P7*'[2]Założenia,wskaźniki, listy'!$B$7,IF(O7="olej opałowy",P7*'[2]Założenia,wskaźniki, listy'!$B$8,IF(O7="sieć ciepłownicza",0,0))))))</f>
        <v>0</v>
      </c>
      <c r="Y7" s="182">
        <f>IF(O7="węgiel",X7*'[2]Założenia,wskaźniki, listy'!$C$44,IF(O7="gaz",X7*'[2]Założenia,wskaźniki, listy'!$D$44,IF(O7="drewno",X7*'[2]Założenia,wskaźniki, listy'!$E$44,IF(O7="pelet",X7*'[2]Założenia,wskaźniki, listy'!$F$44,IF(O7="olej opałowy",X7*'[2]Założenia,wskaźniki, listy'!$G$44,IF(O7="sieć ciepłownicza",0,IF(O7="prąd",0,0)))))))</f>
        <v>0</v>
      </c>
      <c r="Z7" s="182">
        <f>IF(O7="węgiel",X7*'[2]Założenia,wskaźniki, listy'!$C$45,IF(O7="gaz",X7*'[2]Założenia,wskaźniki, listy'!$D$45,IF(O7="drewno",X7*'[2]Założenia,wskaźniki, listy'!$E$45,IF(O7="pelet",X7*'[2]Założenia,wskaźniki, listy'!$F$45,IF(O7="olej opałowy",X7*'[2]Założenia,wskaźniki, listy'!$G$45,IF(O7="sieć ciepłownicza",0,IF(O7="prąd",0,0)))))))</f>
        <v>0</v>
      </c>
      <c r="AA7" s="182">
        <f>IF(O7="węgiel",X7*'[2]Założenia,wskaźniki, listy'!$C$46,IF(O7="gaz",X7*'[2]Założenia,wskaźniki, listy'!$D$46,IF(O7="drewno",X7*'[2]Założenia,wskaźniki, listy'!$E$46,IF(O7="pelet",X7*'[2]Założenia,wskaźniki, listy'!$F$46,IF(O7="olej opałowy",X7*'[2]Założenia,wskaźniki, listy'!$G$46,IF(O7="sieć ciepłownicza",0,IF(O7="prąd",0,0)))))))</f>
        <v>0</v>
      </c>
      <c r="AB7" s="182">
        <f>IF(O7="węgiel",X7*'[2]Założenia,wskaźniki, listy'!$C$47,IF(O7="gaz",X7*'[2]Założenia,wskaźniki, listy'!$D$47,IF(O7="drewno",X7*'[2]Założenia,wskaźniki, listy'!$E$47,IF(O7="pelet",X7*'[2]Założenia,wskaźniki, listy'!$F$47,IF(O7="olej opałowy",X7*'[2]Założenia,wskaźniki, listy'!$G$47,IF(O7="sieć ciepłownicza",0,IF(O7="prąd",0,0)))))))</f>
        <v>0</v>
      </c>
      <c r="AC7" s="182">
        <f>IF(O7="węgiel",X7*'[2]Założenia,wskaźniki, listy'!$C$48,IF(O7="gaz",X7*'[2]Założenia,wskaźniki, listy'!$D$48,IF(O7="drewno",X7*'[2]Założenia,wskaźniki, listy'!$E$48,IF(O7="pelet",X7*'[2]Założenia,wskaźniki, listy'!$F$48,IF(O7="olej opałowy",X7*'[2]Założenia,wskaźniki, listy'!$G$48,IF(O7="sieć ciepłownicza",0,IF(O7="prąd",0,0)))))))</f>
        <v>0</v>
      </c>
      <c r="AD7" s="182">
        <f>IF(O7="węgiel",X7*'[2]Założenia,wskaźniki, listy'!$C$49,IF(O7="gaz",X7*'[2]Założenia,wskaźniki, listy'!$D$49,IF(O7="drewno",X7*'[2]Założenia,wskaźniki, listy'!$E$49,IF(O7="pelet",X7*'[2]Założenia,wskaźniki, listy'!$F$49,IF(O7="olej opałowy",X7*'[2]Założenia,wskaźniki, listy'!$G$49,IF(O7="sieć ciepłownicza",0,IF(O7="prąd",0,0)))))))</f>
        <v>0</v>
      </c>
      <c r="AE7" s="182">
        <f>IF(O7="węgiel",X7*'[2]Założenia,wskaźniki, listy'!$C$50,IF(O7="gaz",X7*'[2]Założenia,wskaźniki, listy'!$D$50,IF(O7="drewno",X7*'[2]Założenia,wskaźniki, listy'!$E$50,IF(O7="pelet",X7*'[2]Założenia,wskaźniki, listy'!$F$50,IF(O7="olej opałowy",X7*'[2]Założenia,wskaźniki, listy'!$G$50,IF(O7="sieć ciepłownicza",0,IF(O7="prąd",0,0)))))))</f>
        <v>0</v>
      </c>
      <c r="AF7" s="339">
        <f>IF(O7="węgiel",X7*[2]Z!$C$44,IF(O7="gaz",X7*[2]Z!$D$44,IF(O7="drewno",X7*[2]Z!$E$44,IF(O7="pelet",X7*[2]Z!$F$44,IF(O7="olej opałowy",X7*[2]Z!$G$44,IF(O7="sieć ciepłownicza",0,IF(O7="prąd",0,0)))))))</f>
        <v>0</v>
      </c>
      <c r="AG7" s="339">
        <f>IF(O7="węgiel",X7*[2]Z!$C$45,IF(O7="gaz",X7*[2]Z!$D$45,IF(O7="drewno",X7*[2]Z!$E$45,IF(O7="pelet",X7*[2]Z!$F$45,IF(O7="olej opałowy",X7*[2]Z!$G$45,IF(O7="sieć ciepłownicza",0,IF(O7="prąd",0,0)))))))</f>
        <v>0</v>
      </c>
      <c r="AH7" s="339">
        <f>IF(O7="węgiel",X7*[2]Z!$C$46,IF(O7="gaz",X7*[2]Z!$D$46,IF(O7="drewno",X7*[2]Z!$E$46,IF(O7="pelet",X7*[2]Z!$F$46,IF(O7="olej opałowy",X7*[2]Z!$G$46,IF(O7="sieć ciepłownicza",0,IF(O7="prąd",0,0)))))))</f>
        <v>0</v>
      </c>
      <c r="AI7" s="339">
        <f>IF(O7="węgiel",X7*[2]Z!$C$47,IF(O7="gaz",X7*[2]Z!$D$47,IF(O7="drewno",X7*[2]Z!$E$47,IF(O7="pelet",X7*[2]Z!$F$47,IF(O7="olej opałowy",X7*[2]Z!$G$47,IF(O7="sieć ciepłownicza",0,IF(O7="prąd",0,0)))))))</f>
        <v>0</v>
      </c>
      <c r="AJ7" s="339">
        <f>IF(O7="węgiel",X7*[2]Z!$C$48,IF(O7="gaz",X7*[2]Z!$D$48,IF(O7="drewno",X7*[2]Z!$E$48,IF(O7="pelet",X7*[2]Z!$F$48,IF(O7="olej opałowy",X7*[2]Z!$G$48,IF(O7="sieć ciepłownicza",0,IF(O7="prąd",0,0)))))))</f>
        <v>0</v>
      </c>
      <c r="AK7" s="339">
        <f>IF(O7="węgiel",X7*[2]Z!$C$49,IF(O7="gaz",X7*[2]Z!$D$49,IF(O7="drewno",X7*[2]Z!$E$49,IF(O7="pelet",X7*[2]Z!$F$49,IF(O7="olej opałowy",X7*[2]Z!$G$49,IF(O7="sieć ciepłownicza",0,IF(O7="prąd",0,0)))))))</f>
        <v>0</v>
      </c>
      <c r="AL7" s="339">
        <f>IF(O7="węgiel",X7*[2]Z!$C$50,IF(O7="gaz",X7*[2]Z!$D$50,IF(O7="drewno",X7*[2]Z!$E$50,IF(O7="pelet",X7*[2]Z!$F$50,IF(O7="olej opałowy",X7*[2]Z!$G$50,IF(O7="sieć ciepłownicza",0,IF(O7="prąd",0,0)))))))</f>
        <v>0</v>
      </c>
      <c r="AM7" s="172">
        <f>IF(T7="węgiel",W7*'[2]Założenia,wskaźniki, listy'!$C$44,IF(T7="gaz",W7*'[2]Założenia,wskaźniki, listy'!$D$44,IF(T7="drewno",W7*'[2]Założenia,wskaźniki, listy'!$E$44,IF(T7="pelet",W7*'[2]Założenia,wskaźniki, listy'!$F$44,IF(T7="olej opałowy",W7*'[2]Założenia,wskaźniki, listy'!$G$44,IF(T7="sieć ciepłownicza",0,IF(T7="prąd",0,0)))))))</f>
        <v>0</v>
      </c>
      <c r="AN7" s="172">
        <f>IF(U7="węgiel",X7*'[2]Założenia,wskaźniki, listy'!$C$45,IF(U7="gaz",X7*'[2]Założenia,wskaźniki, listy'!$D$45,IF(U7="drewno",X7*'[2]Założenia,wskaźniki, listy'!$E$45,IF(U7="pelet",X7*'[2]Założenia,wskaźniki, listy'!$F$45,IF(U7="olej opałowy",X7*'[2]Założenia,wskaźniki, listy'!$G$45,IF(U7="sieć ciepłownicza",0,IF(U7="prąd",0,0)))))))</f>
        <v>0</v>
      </c>
      <c r="AO7" s="172">
        <f>IF(U7="węgiel",X7*'[2]Założenia,wskaźniki, listy'!$C$46,IF(U7="gaz",X7*'[2]Założenia,wskaźniki, listy'!$D$46,IF(U7="drewno",X7*'[2]Założenia,wskaźniki, listy'!$E$46,IF(U7="pelet",X7*'[2]Założenia,wskaźniki, listy'!$F$46,IF(U7="olej opałowy",X7*'[2]Założenia,wskaźniki, listy'!$G$46,IF(U7="sieć ciepłownicza",0,IF(U7="prąd",0,0)))))))</f>
        <v>0</v>
      </c>
      <c r="AP7" s="172">
        <f>IF(U7="węgiel",X7*'[2]Założenia,wskaźniki, listy'!$C$47,IF(U7="gaz",X7*'[2]Założenia,wskaźniki, listy'!$D$47,IF(U7="drewno",X7*'[2]Założenia,wskaźniki, listy'!$E$47,IF(U7="pelet",X7*'[2]Założenia,wskaźniki, listy'!$F$47,IF(U7="olej opałowy",X7*'[2]Założenia,wskaźniki, listy'!$G$47,IF(U7="sieć ciepłownicza",0,IF(U7="prąd",0,0)))))))</f>
        <v>0</v>
      </c>
      <c r="AQ7" s="172">
        <f>IF(U7="węgiel",X7*'[2]Założenia,wskaźniki, listy'!$C$48,IF(U7="gaz",X7*'[2]Założenia,wskaźniki, listy'!$D$48,IF(U7="drewno",X7*'[2]Założenia,wskaźniki, listy'!$E$48,IF(U7="pelet",X7*'[2]Założenia,wskaźniki, listy'!$F$48,IF(U7="olej opałowy",X7*'[2]Założenia,wskaźniki, listy'!$G$48,IF(U7="sieć ciepłownicza",0,IF(U7="prąd",0,0)))))))</f>
        <v>0</v>
      </c>
      <c r="AR7" s="172">
        <f>IF(U7="węgiel",X7*'[2]Założenia,wskaźniki, listy'!$C$49,IF(U7="gaz",X7*'[2]Założenia,wskaźniki, listy'!$D$49,IF(U7="drewno",X7*'[2]Założenia,wskaźniki, listy'!$E$49,IF(U7="pelet",X7*'[2]Założenia,wskaźniki, listy'!$F$49,IF(U7="olej opałowy",X7*'[2]Założenia,wskaźniki, listy'!$G$49,IF(U7="sieć ciepłownicza",0,IF(U7="prąd",0,0)))))))</f>
        <v>0</v>
      </c>
      <c r="AS7" s="172">
        <f>IF(U7="węgiel",X7*'[2]Założenia,wskaźniki, listy'!$C$50,IF(U7="gaz",X7*'[2]Założenia,wskaźniki, listy'!$D$50,IF(U7="drewno",X7*'[2]Założenia,wskaźniki, listy'!$E$50,IF(U7="pelet",X7*'[2]Założenia,wskaźniki, listy'!$F$50,IF(U7="olej opałowy",X7*'[2]Założenia,wskaźniki, listy'!$G$50,IF(U7="sieć ciepłownicza",0,IF(U7="prąd",0,0)))))))</f>
        <v>0</v>
      </c>
      <c r="AT7" s="172">
        <f t="shared" si="3"/>
        <v>0</v>
      </c>
      <c r="AU7" s="172"/>
      <c r="AV7" s="340" t="e">
        <f t="shared" ref="AV7:AV12" si="26">AM7+IF(S7&gt;=50,AF7,Y7)</f>
        <v>#REF!</v>
      </c>
      <c r="AW7" s="340" t="e">
        <f t="shared" ref="AW7:AW12" si="27">AN7+IF(S7&gt;=50,AG7,Z7)</f>
        <v>#REF!</v>
      </c>
      <c r="AX7" s="340" t="e">
        <f t="shared" ref="AX7:AX12" si="28">AO7+IF(S7&gt;=50,AH7,AA7)</f>
        <v>#REF!</v>
      </c>
      <c r="AY7" s="340" t="e">
        <f t="shared" ref="AY7:AY12" si="29">AP7+IF(S7&gt;=50,AI7,AB7)</f>
        <v>#REF!</v>
      </c>
      <c r="AZ7" s="340" t="e">
        <f t="shared" ref="AZ7:AZ12" si="30">AQ7+IF(S7&gt;=50,AJ7,AC7)</f>
        <v>#REF!</v>
      </c>
      <c r="BA7" s="340" t="e">
        <f t="shared" ref="BA7:BA12" si="31">AR7+IF(S7&gt;=50,AK7,AD7)</f>
        <v>#REF!</v>
      </c>
      <c r="BB7" s="340" t="e">
        <f t="shared" ref="BB7:BB12" si="32">AS7+IF(S7&gt;=50,AL7,AE7)</f>
        <v>#REF!</v>
      </c>
      <c r="BC7" s="71"/>
      <c r="BD7" s="183"/>
      <c r="BE7" s="349"/>
      <c r="BF7" s="183"/>
      <c r="BG7" s="183"/>
      <c r="BH7" s="183"/>
      <c r="BI7" s="183"/>
      <c r="BJ7" s="183"/>
      <c r="BK7" s="249"/>
      <c r="BN7" s="245">
        <f t="shared" si="4"/>
        <v>0</v>
      </c>
      <c r="BO7" s="87" t="b">
        <f t="shared" si="5"/>
        <v>0</v>
      </c>
      <c r="BP7" s="87" t="b">
        <f t="shared" si="6"/>
        <v>0</v>
      </c>
      <c r="BQ7" s="87" t="b">
        <f t="shared" si="7"/>
        <v>0</v>
      </c>
      <c r="BR7" s="87" t="b">
        <f t="shared" si="8"/>
        <v>0</v>
      </c>
      <c r="BS7" s="87" t="b">
        <f t="shared" si="9"/>
        <v>0</v>
      </c>
      <c r="BT7" s="87" t="b">
        <f t="shared" si="10"/>
        <v>0</v>
      </c>
      <c r="BU7" s="87" t="b">
        <f t="shared" si="11"/>
        <v>0</v>
      </c>
      <c r="BV7" s="87" t="b">
        <f t="shared" si="12"/>
        <v>0</v>
      </c>
      <c r="BW7" s="246" t="b">
        <f t="shared" si="13"/>
        <v>0</v>
      </c>
      <c r="BX7" s="87" t="b">
        <f t="shared" si="14"/>
        <v>0</v>
      </c>
      <c r="BY7" s="87" t="b">
        <f t="shared" si="15"/>
        <v>0</v>
      </c>
      <c r="BZ7" s="87" t="b">
        <f t="shared" si="16"/>
        <v>0</v>
      </c>
      <c r="CA7" s="87" t="b">
        <f t="shared" si="17"/>
        <v>0</v>
      </c>
      <c r="CB7" s="87" t="b">
        <f t="shared" si="18"/>
        <v>0</v>
      </c>
      <c r="CC7" s="87" t="b">
        <f t="shared" si="19"/>
        <v>0</v>
      </c>
      <c r="CD7" s="245" t="b">
        <f t="shared" si="20"/>
        <v>0</v>
      </c>
      <c r="CE7" s="87" t="b">
        <f t="shared" si="21"/>
        <v>0</v>
      </c>
      <c r="CF7" s="87" t="b">
        <f t="shared" si="22"/>
        <v>0</v>
      </c>
      <c r="CG7" s="87" t="b">
        <f t="shared" si="23"/>
        <v>0</v>
      </c>
      <c r="CH7" s="87" t="b">
        <f t="shared" si="24"/>
        <v>0</v>
      </c>
      <c r="CI7" s="246" t="b">
        <f t="shared" si="25"/>
        <v>0</v>
      </c>
    </row>
    <row r="8" spans="1:89" s="236" customFormat="1" ht="8.25">
      <c r="A8" s="248">
        <v>3</v>
      </c>
      <c r="B8" s="234">
        <f>SUM($C$8:C8)</f>
        <v>0</v>
      </c>
      <c r="C8" s="347" t="b">
        <f t="shared" si="1"/>
        <v>0</v>
      </c>
      <c r="D8" s="235"/>
      <c r="E8" s="234"/>
      <c r="F8" s="234"/>
      <c r="G8" s="234"/>
      <c r="H8" s="71"/>
      <c r="I8" s="71"/>
      <c r="J8" s="71"/>
      <c r="K8" s="71"/>
      <c r="L8" s="71"/>
      <c r="M8" s="71">
        <f>IF(F8&lt;=1966,'[2]Założenia,wskaźniki, listy'!$H$4,IF(F8&gt;1966,IF(F8&lt;=1985,'[2]Założenia,wskaźniki, listy'!$H$5,IF(F8&gt;1985,IF(F8&lt;=1992,'[2]Założenia,wskaźniki, listy'!$H$6,IF(F8&gt;1992,IF(F8&lt;=1996,'[2]Założenia,wskaźniki, listy'!$H$7,IF(F8&gt;1996,IF(F8&lt;=2013,'[2]Założenia,wskaźniki, listy'!$H$8)))))))))</f>
        <v>290</v>
      </c>
      <c r="N8" s="71"/>
      <c r="O8" s="231"/>
      <c r="P8" s="71"/>
      <c r="Q8" s="183"/>
      <c r="R8" s="183"/>
      <c r="S8" s="183" t="e">
        <f>(R8+#REF!)/2</f>
        <v>#REF!</v>
      </c>
      <c r="T8" s="71"/>
      <c r="U8" s="213">
        <f>IF(V8&gt;0,(W8+X8+V8)/2,W8+X8)</f>
        <v>0</v>
      </c>
      <c r="V8" s="227">
        <f>IF(N8="kompletna",M8*G8*0.0036*'[2]Założenia,wskaźniki, listy'!$H$13,IF(N8="częściowa",M8*G8*0.0036*'[2]Założenia,wskaźniki, listy'!$H$14,IF(N8="brak",M8*G8*0.0036*'[2]Założenia,wskaźniki, listy'!$H$15,0)))</f>
        <v>0</v>
      </c>
      <c r="W8" s="172">
        <f>K8*'[2]Założenia,wskaźniki, listy'!$L$16</f>
        <v>0</v>
      </c>
      <c r="X8" s="182">
        <f>IF(O8="węgiel",P8*'[2]Założenia,wskaźniki, listy'!$B$4,IF(O8="gaz",P8*'[2]Założenia,wskaźniki, listy'!$B$5,IF(O8="drewno",P8*'[2]Założenia,wskaźniki, listy'!$B$6,IF(O8="pelet",P8*'[2]Założenia,wskaźniki, listy'!$B$7,IF(O8="olej opałowy",P8*'[2]Założenia,wskaźniki, listy'!$B$8,IF(O8="sieć ciepłownicza",0,0))))))</f>
        <v>0</v>
      </c>
      <c r="Y8" s="172">
        <f>IF(O8="węgiel",X8*'[2]Założenia,wskaźniki, listy'!$C$44,IF(O8="gaz",X8*'[2]Założenia,wskaźniki, listy'!$D$44,IF(O8="drewno",X8*'[2]Założenia,wskaźniki, listy'!$E$44,IF(O8="pelet",X8*'[2]Założenia,wskaźniki, listy'!$F$44,IF(O8="olej opałowy",X8*'[2]Założenia,wskaźniki, listy'!$G$44,IF(O8="sieć ciepłownicza",0,IF(O8="prąd",0,0)))))))</f>
        <v>0</v>
      </c>
      <c r="Z8" s="172">
        <f>IF(O8="węgiel",X8*'[2]Założenia,wskaźniki, listy'!$C$45,IF(O8="gaz",X8*'[2]Założenia,wskaźniki, listy'!$D$45,IF(O8="drewno",X8*'[2]Założenia,wskaźniki, listy'!$E$45,IF(O8="pelet",X8*'[2]Założenia,wskaźniki, listy'!$F$45,IF(O8="olej opałowy",X8*'[2]Założenia,wskaźniki, listy'!$G$45,IF(O8="sieć ciepłownicza",0,IF(O8="prąd",0,0)))))))</f>
        <v>0</v>
      </c>
      <c r="AA8" s="172">
        <f>IF(O8="węgiel",X8*'[2]Założenia,wskaźniki, listy'!$C$46,IF(O8="gaz",X8*'[2]Założenia,wskaźniki, listy'!$D$46,IF(O8="drewno",X8*'[2]Założenia,wskaźniki, listy'!$E$46,IF(O8="pelet",X8*'[2]Założenia,wskaźniki, listy'!$F$46,IF(O8="olej opałowy",X8*'[2]Założenia,wskaźniki, listy'!$G$46,IF(O8="sieć ciepłownicza",0,IF(O8="prąd",0,0)))))))</f>
        <v>0</v>
      </c>
      <c r="AB8" s="172">
        <f>IF(O8="węgiel",X8*'[2]Założenia,wskaźniki, listy'!$C$47,IF(O8="gaz",X8*'[2]Założenia,wskaźniki, listy'!$D$47,IF(O8="drewno",X8*'[2]Założenia,wskaźniki, listy'!$E$47,IF(O8="pelet",X8*'[2]Założenia,wskaźniki, listy'!$F$47,IF(O8="olej opałowy",X8*'[2]Założenia,wskaźniki, listy'!$G$47,IF(O8="sieć ciepłownicza",0,IF(O8="prąd",0,0)))))))</f>
        <v>0</v>
      </c>
      <c r="AC8" s="172">
        <f>IF(O8="węgiel",X8*'[2]Założenia,wskaźniki, listy'!$C$48,IF(O8="gaz",X8*'[2]Założenia,wskaźniki, listy'!$D$48,IF(O8="drewno",X8*'[2]Założenia,wskaźniki, listy'!$E$48,IF(O8="pelet",X8*'[2]Założenia,wskaźniki, listy'!$F$48,IF(O8="olej opałowy",X8*'[2]Założenia,wskaźniki, listy'!$G$48,IF(O8="sieć ciepłownicza",0,IF(O8="prąd",0,0)))))))</f>
        <v>0</v>
      </c>
      <c r="AD8" s="172">
        <f>IF(O8="węgiel",X8*'[2]Założenia,wskaźniki, listy'!$C$49,IF(O8="gaz",X8*'[2]Założenia,wskaźniki, listy'!$D$49,IF(O8="drewno",X8*'[2]Założenia,wskaźniki, listy'!$E$49,IF(O8="pelet",X8*'[2]Założenia,wskaźniki, listy'!$F$49,IF(O8="olej opałowy",X8*'[2]Założenia,wskaźniki, listy'!$G$49,IF(O8="sieć ciepłownicza",0,IF(O8="prąd",0,0)))))))</f>
        <v>0</v>
      </c>
      <c r="AE8" s="172">
        <f>IF(O8="węgiel",X8*'[2]Założenia,wskaźniki, listy'!$C$50,IF(O8="gaz",X8*'[2]Założenia,wskaźniki, listy'!$D$50,IF(O8="drewno",X8*'[2]Założenia,wskaźniki, listy'!$E$50,IF(O8="pelet",X8*'[2]Założenia,wskaźniki, listy'!$F$50,IF(O8="olej opałowy",X8*'[2]Założenia,wskaźniki, listy'!$G$50,IF(O8="sieć ciepłownicza",0,IF(O8="prąd",0,0)))))))</f>
        <v>0</v>
      </c>
      <c r="AF8" s="339">
        <f>IF(O8="węgiel",X8*[2]Z!$C$44,IF(O8="gaz",X8*[2]Z!$D$44,IF(O8="drewno",X8*[2]Z!$E$44,IF(O8="pelet",X8*[2]Z!$F$44,IF(O8="olej opałowy",X8*[2]Z!$G$44,IF(O8="sieć ciepłownicza",0,IF(O8="prąd",0,0)))))))</f>
        <v>0</v>
      </c>
      <c r="AG8" s="339">
        <f>IF(O8="węgiel",X8*[2]Z!$C$45,IF(O8="gaz",X8*[2]Z!$D$45,IF(O8="drewno",X8*[2]Z!$E$45,IF(O8="pelet",X8*[2]Z!$F$45,IF(O8="olej opałowy",X8*[2]Z!$G$45,IF(O8="sieć ciepłownicza",0,IF(O8="prąd",0,0)))))))</f>
        <v>0</v>
      </c>
      <c r="AH8" s="339">
        <f>IF(O8="węgiel",X8*[2]Z!$C$46,IF(O8="gaz",X8*[2]Z!$D$46,IF(O8="drewno",X8*[2]Z!$E$46,IF(O8="pelet",X8*[2]Z!$F$46,IF(O8="olej opałowy",X8*[2]Z!$G$46,IF(O8="sieć ciepłownicza",0,IF(O8="prąd",0,0)))))))</f>
        <v>0</v>
      </c>
      <c r="AI8" s="339">
        <f>IF(O8="węgiel",X8*[2]Z!$C$47,IF(O8="gaz",X8*[2]Z!$D$47,IF(O8="drewno",X8*[2]Z!$E$47,IF(O8="pelet",X8*[2]Z!$F$47,IF(O8="olej opałowy",X8*[2]Z!$G$47,IF(O8="sieć ciepłownicza",0,IF(O8="prąd",0,0)))))))</f>
        <v>0</v>
      </c>
      <c r="AJ8" s="339">
        <f>IF(O8="węgiel",X8*[2]Z!$C$48,IF(O8="gaz",X8*[2]Z!$D$48,IF(O8="drewno",X8*[2]Z!$E$48,IF(O8="pelet",X8*[2]Z!$F$48,IF(O8="olej opałowy",X8*[2]Z!$G$48,IF(O8="sieć ciepłownicza",0,IF(O8="prąd",0,0)))))))</f>
        <v>0</v>
      </c>
      <c r="AK8" s="339">
        <f>IF(O8="węgiel",X8*[2]Z!$C$49,IF(O8="gaz",X8*[2]Z!$D$49,IF(O8="drewno",X8*[2]Z!$E$49,IF(O8="pelet",X8*[2]Z!$F$49,IF(O8="olej opałowy",X8*[2]Z!$G$49,IF(O8="sieć ciepłownicza",0,IF(O8="prąd",0,0)))))))</f>
        <v>0</v>
      </c>
      <c r="AL8" s="339">
        <f>IF(O8="węgiel",X8*[2]Z!$C$50,IF(O8="gaz",X8*[2]Z!$D$50,IF(O8="drewno",X8*[2]Z!$E$50,IF(O8="pelet",X8*[2]Z!$F$50,IF(O8="olej opałowy",X8*[2]Z!$G$50,IF(O8="sieć ciepłownicza",0,IF(O8="prąd",0,0)))))))</f>
        <v>0</v>
      </c>
      <c r="AM8" s="172">
        <f>IF(T8="węgiel",W8*'[2]Założenia,wskaźniki, listy'!$C$44,IF(T8="gaz",W8*'[2]Założenia,wskaźniki, listy'!$D$44,IF(T8="drewno",W8*'[2]Założenia,wskaźniki, listy'!$E$44,IF(T8="pelet",W8*'[2]Założenia,wskaźniki, listy'!$F$44,IF(T8="olej opałowy",W8*'[2]Założenia,wskaźniki, listy'!$G$44,IF(T8="sieć ciepłownicza",0,IF(T8="prąd",0,0)))))))</f>
        <v>0</v>
      </c>
      <c r="AN8" s="172">
        <f>IF(U8="węgiel",X8*'[2]Założenia,wskaźniki, listy'!$C$45,IF(U8="gaz",X8*'[2]Założenia,wskaźniki, listy'!$D$45,IF(U8="drewno",X8*'[2]Założenia,wskaźniki, listy'!$E$45,IF(U8="pelet",X8*'[2]Założenia,wskaźniki, listy'!$F$45,IF(U8="olej opałowy",X8*'[2]Założenia,wskaźniki, listy'!$G$45,IF(U8="sieć ciepłownicza",0,IF(U8="prąd",0,0)))))))</f>
        <v>0</v>
      </c>
      <c r="AO8" s="172">
        <f>IF(U8="węgiel",X8*'[2]Założenia,wskaźniki, listy'!$C$46,IF(U8="gaz",X8*'[2]Założenia,wskaźniki, listy'!$D$46,IF(U8="drewno",X8*'[2]Założenia,wskaźniki, listy'!$E$46,IF(U8="pelet",X8*'[2]Założenia,wskaźniki, listy'!$F$46,IF(U8="olej opałowy",X8*'[2]Założenia,wskaźniki, listy'!$G$46,IF(U8="sieć ciepłownicza",0,IF(U8="prąd",0,0)))))))</f>
        <v>0</v>
      </c>
      <c r="AP8" s="172">
        <f>IF(U8="węgiel",X8*'[2]Założenia,wskaźniki, listy'!$C$47,IF(U8="gaz",X8*'[2]Założenia,wskaźniki, listy'!$D$47,IF(U8="drewno",X8*'[2]Założenia,wskaźniki, listy'!$E$47,IF(U8="pelet",X8*'[2]Założenia,wskaźniki, listy'!$F$47,IF(U8="olej opałowy",X8*'[2]Założenia,wskaźniki, listy'!$G$47,IF(U8="sieć ciepłownicza",0,IF(U8="prąd",0,0)))))))</f>
        <v>0</v>
      </c>
      <c r="AQ8" s="172">
        <f>IF(U8="węgiel",X8*'[2]Założenia,wskaźniki, listy'!$C$48,IF(U8="gaz",X8*'[2]Założenia,wskaźniki, listy'!$D$48,IF(U8="drewno",X8*'[2]Założenia,wskaźniki, listy'!$E$48,IF(U8="pelet",X8*'[2]Założenia,wskaźniki, listy'!$F$48,IF(U8="olej opałowy",X8*'[2]Założenia,wskaźniki, listy'!$G$48,IF(U8="sieć ciepłownicza",0,IF(U8="prąd",0,0)))))))</f>
        <v>0</v>
      </c>
      <c r="AR8" s="172">
        <f>IF(U8="węgiel",X8*'[2]Założenia,wskaźniki, listy'!$C$49,IF(U8="gaz",X8*'[2]Założenia,wskaźniki, listy'!$D$49,IF(U8="drewno",X8*'[2]Założenia,wskaźniki, listy'!$E$49,IF(U8="pelet",X8*'[2]Założenia,wskaźniki, listy'!$F$49,IF(U8="olej opałowy",X8*'[2]Założenia,wskaźniki, listy'!$G$49,IF(U8="sieć ciepłownicza",0,IF(U8="prąd",0,0)))))))</f>
        <v>0</v>
      </c>
      <c r="AS8" s="172">
        <f>IF(U8="węgiel",X8*'[2]Założenia,wskaźniki, listy'!$C$50,IF(U8="gaz",X8*'[2]Założenia,wskaźniki, listy'!$D$50,IF(U8="drewno",X8*'[2]Założenia,wskaźniki, listy'!$E$50,IF(U8="pelet",X8*'[2]Założenia,wskaźniki, listy'!$F$50,IF(U8="olej opałowy",X8*'[2]Założenia,wskaźniki, listy'!$G$50,IF(U8="sieć ciepłownicza",0,IF(U8="prąd",0,0)))))))</f>
        <v>0</v>
      </c>
      <c r="AT8" s="172">
        <f t="shared" si="3"/>
        <v>0</v>
      </c>
      <c r="AU8" s="172"/>
      <c r="AV8" s="340" t="e">
        <f t="shared" si="26"/>
        <v>#REF!</v>
      </c>
      <c r="AW8" s="340" t="e">
        <f t="shared" si="27"/>
        <v>#REF!</v>
      </c>
      <c r="AX8" s="340" t="e">
        <f t="shared" si="28"/>
        <v>#REF!</v>
      </c>
      <c r="AY8" s="340" t="e">
        <f t="shared" si="29"/>
        <v>#REF!</v>
      </c>
      <c r="AZ8" s="340" t="e">
        <f t="shared" si="30"/>
        <v>#REF!</v>
      </c>
      <c r="BA8" s="340" t="e">
        <f t="shared" si="31"/>
        <v>#REF!</v>
      </c>
      <c r="BB8" s="340" t="e">
        <f t="shared" si="32"/>
        <v>#REF!</v>
      </c>
      <c r="BC8" s="71"/>
      <c r="BD8" s="183"/>
      <c r="BE8" s="349"/>
      <c r="BF8" s="183"/>
      <c r="BG8" s="183"/>
      <c r="BH8" s="183"/>
      <c r="BI8" s="183"/>
      <c r="BJ8" s="183"/>
      <c r="BK8" s="249"/>
      <c r="BN8" s="245">
        <f t="shared" si="4"/>
        <v>0</v>
      </c>
      <c r="BO8" s="87" t="b">
        <f t="shared" si="5"/>
        <v>0</v>
      </c>
      <c r="BP8" s="87" t="b">
        <f t="shared" si="6"/>
        <v>0</v>
      </c>
      <c r="BQ8" s="87" t="b">
        <f t="shared" si="7"/>
        <v>0</v>
      </c>
      <c r="BR8" s="87" t="b">
        <f t="shared" si="8"/>
        <v>0</v>
      </c>
      <c r="BS8" s="87" t="b">
        <f t="shared" si="9"/>
        <v>0</v>
      </c>
      <c r="BT8" s="87" t="b">
        <f t="shared" si="10"/>
        <v>0</v>
      </c>
      <c r="BU8" s="87" t="b">
        <f t="shared" si="11"/>
        <v>0</v>
      </c>
      <c r="BV8" s="87" t="b">
        <f t="shared" si="12"/>
        <v>0</v>
      </c>
      <c r="BW8" s="246" t="b">
        <f t="shared" si="13"/>
        <v>0</v>
      </c>
      <c r="BX8" s="87" t="b">
        <f t="shared" si="14"/>
        <v>0</v>
      </c>
      <c r="BY8" s="87" t="b">
        <f t="shared" si="15"/>
        <v>0</v>
      </c>
      <c r="BZ8" s="87" t="b">
        <f t="shared" si="16"/>
        <v>0</v>
      </c>
      <c r="CA8" s="87" t="b">
        <f t="shared" si="17"/>
        <v>0</v>
      </c>
      <c r="CB8" s="87" t="b">
        <f t="shared" si="18"/>
        <v>0</v>
      </c>
      <c r="CC8" s="87" t="b">
        <f t="shared" si="19"/>
        <v>0</v>
      </c>
      <c r="CD8" s="245" t="b">
        <f t="shared" si="20"/>
        <v>0</v>
      </c>
      <c r="CE8" s="87" t="b">
        <f t="shared" si="21"/>
        <v>0</v>
      </c>
      <c r="CF8" s="87" t="b">
        <f t="shared" si="22"/>
        <v>0</v>
      </c>
      <c r="CG8" s="87" t="b">
        <f t="shared" si="23"/>
        <v>0</v>
      </c>
      <c r="CH8" s="87" t="b">
        <f t="shared" si="24"/>
        <v>0</v>
      </c>
      <c r="CI8" s="246" t="b">
        <f t="shared" si="25"/>
        <v>0</v>
      </c>
    </row>
    <row r="9" spans="1:89" s="236" customFormat="1" ht="8.25">
      <c r="A9" s="248">
        <v>13</v>
      </c>
      <c r="B9" s="234">
        <f>SUM($C$8:C9)</f>
        <v>0</v>
      </c>
      <c r="C9" s="347" t="b">
        <f t="shared" si="1"/>
        <v>0</v>
      </c>
      <c r="D9" s="235"/>
      <c r="E9" s="234"/>
      <c r="F9" s="234"/>
      <c r="G9" s="234"/>
      <c r="H9" s="71"/>
      <c r="I9" s="71"/>
      <c r="J9" s="71"/>
      <c r="K9" s="71"/>
      <c r="L9" s="71"/>
      <c r="M9" s="71">
        <f>IF(F9&lt;=1966,'[2]Założenia,wskaźniki, listy'!$H$4,IF(F9&gt;1966,IF(F9&lt;=1985,'[2]Założenia,wskaźniki, listy'!$H$5,IF(F9&gt;1985,IF(F9&lt;=1992,'[2]Założenia,wskaźniki, listy'!$H$6,IF(F9&gt;1992,IF(F9&lt;=1996,'[2]Założenia,wskaźniki, listy'!$H$7,IF(F9&gt;1996,IF(F9&lt;=2013,'[2]Założenia,wskaźniki, listy'!$H$8)))))))))</f>
        <v>290</v>
      </c>
      <c r="N9" s="71"/>
      <c r="O9" s="231"/>
      <c r="P9" s="71"/>
      <c r="Q9" s="183"/>
      <c r="R9" s="183"/>
      <c r="S9" s="183" t="e">
        <f>(R9+#REF!)/2</f>
        <v>#REF!</v>
      </c>
      <c r="T9" s="71"/>
      <c r="U9" s="213">
        <f t="shared" ref="U9:U12" si="33">IF(V9&gt;0,(W9+X9+V9)/2,W9+X9)</f>
        <v>0</v>
      </c>
      <c r="V9" s="227">
        <f>IF(N9="kompletna",M9*G9*0.0036*'[2]Założenia,wskaźniki, listy'!$H$13,IF(N9="częściowa",M9*G9*0.0036*'[2]Założenia,wskaźniki, listy'!$H$14,IF(N9="brak",M9*G9*0.0036*'[2]Założenia,wskaźniki, listy'!$H$15,0)))</f>
        <v>0</v>
      </c>
      <c r="W9" s="172">
        <f>K9*'[2]Założenia,wskaźniki, listy'!$L$16</f>
        <v>0</v>
      </c>
      <c r="X9" s="182">
        <f>IF(O9="węgiel",P9*'[2]Założenia,wskaźniki, listy'!$B$4,IF(O9="gaz",P9*'[2]Założenia,wskaźniki, listy'!$B$5,IF(O9="drewno",P9*'[2]Założenia,wskaźniki, listy'!$B$6,IF(O9="pelet",P9*'[2]Założenia,wskaźniki, listy'!$B$7,IF(O9="olej opałowy",P9*'[2]Założenia,wskaźniki, listy'!$B$8,IF(O9="sieć ciepłownicza",0,0))))))</f>
        <v>0</v>
      </c>
      <c r="Y9" s="172">
        <f>IF(O9="węgiel",X9*'[2]Założenia,wskaźniki, listy'!$C$44,IF(O9="gaz",X9*'[2]Założenia,wskaźniki, listy'!$D$44,IF(O9="drewno",X9*'[2]Założenia,wskaźniki, listy'!$E$44,IF(O9="pelet",X9*'[2]Założenia,wskaźniki, listy'!$F$44,IF(O9="olej opałowy",X9*'[2]Założenia,wskaźniki, listy'!$G$44,IF(O9="sieć ciepłownicza",0,IF(O9="prąd",0,0)))))))</f>
        <v>0</v>
      </c>
      <c r="Z9" s="172">
        <f>IF(O9="węgiel",X9*'[2]Założenia,wskaźniki, listy'!$C$45,IF(O9="gaz",X9*'[2]Założenia,wskaźniki, listy'!$D$45,IF(O9="drewno",X9*'[2]Założenia,wskaźniki, listy'!$E$45,IF(O9="pelet",X9*'[2]Założenia,wskaźniki, listy'!$F$45,IF(O9="olej opałowy",X9*'[2]Założenia,wskaźniki, listy'!$G$45,IF(O9="sieć ciepłownicza",0,IF(O9="prąd",0,0)))))))</f>
        <v>0</v>
      </c>
      <c r="AA9" s="172">
        <f>IF(O9="węgiel",X9*'[2]Założenia,wskaźniki, listy'!$C$46,IF(O9="gaz",X9*'[2]Założenia,wskaźniki, listy'!$D$46,IF(O9="drewno",X9*'[2]Założenia,wskaźniki, listy'!$E$46,IF(O9="pelet",X9*'[2]Założenia,wskaźniki, listy'!$F$46,IF(O9="olej opałowy",X9*'[2]Założenia,wskaźniki, listy'!$G$46,IF(O9="sieć ciepłownicza",0,IF(O9="prąd",0,0)))))))</f>
        <v>0</v>
      </c>
      <c r="AB9" s="172">
        <f>IF(O9="węgiel",X9*'[2]Założenia,wskaźniki, listy'!$C$47,IF(O9="gaz",X9*'[2]Założenia,wskaźniki, listy'!$D$47,IF(O9="drewno",X9*'[2]Założenia,wskaźniki, listy'!$E$47,IF(O9="pelet",X9*'[2]Założenia,wskaźniki, listy'!$F$47,IF(O9="olej opałowy",X9*'[2]Założenia,wskaźniki, listy'!$G$47,IF(O9="sieć ciepłownicza",0,IF(O9="prąd",0,0)))))))</f>
        <v>0</v>
      </c>
      <c r="AC9" s="172">
        <f>IF(O9="węgiel",X9*'[2]Założenia,wskaźniki, listy'!$C$48,IF(O9="gaz",X9*'[2]Założenia,wskaźniki, listy'!$D$48,IF(O9="drewno",X9*'[2]Założenia,wskaźniki, listy'!$E$48,IF(O9="pelet",X9*'[2]Założenia,wskaźniki, listy'!$F$48,IF(O9="olej opałowy",X9*'[2]Założenia,wskaźniki, listy'!$G$48,IF(O9="sieć ciepłownicza",0,IF(O9="prąd",0,0)))))))</f>
        <v>0</v>
      </c>
      <c r="AD9" s="172">
        <f>IF(O9="węgiel",X9*'[2]Założenia,wskaźniki, listy'!$C$49,IF(O9="gaz",X9*'[2]Założenia,wskaźniki, listy'!$D$49,IF(O9="drewno",X9*'[2]Założenia,wskaźniki, listy'!$E$49,IF(O9="pelet",X9*'[2]Założenia,wskaźniki, listy'!$F$49,IF(O9="olej opałowy",X9*'[2]Założenia,wskaźniki, listy'!$G$49,IF(O9="sieć ciepłownicza",0,IF(O9="prąd",0,0)))))))</f>
        <v>0</v>
      </c>
      <c r="AE9" s="172">
        <f>IF(O9="węgiel",X9*'[2]Założenia,wskaźniki, listy'!$C$50,IF(O9="gaz",X9*'[2]Założenia,wskaźniki, listy'!$D$50,IF(O9="drewno",X9*'[2]Założenia,wskaźniki, listy'!$E$50,IF(O9="pelet",X9*'[2]Założenia,wskaźniki, listy'!$F$50,IF(O9="olej opałowy",X9*'[2]Założenia,wskaźniki, listy'!$G$50,IF(O9="sieć ciepłownicza",0,IF(O9="prąd",0,0)))))))</f>
        <v>0</v>
      </c>
      <c r="AF9" s="339">
        <f>IF(O9="węgiel",X9*[2]Z!$C$44,IF(O9="gaz",X9*[2]Z!$D$44,IF(O9="drewno",X9*[2]Z!$E$44,IF(O9="pelet",X9*[2]Z!$F$44,IF(O9="olej opałowy",X9*[2]Z!$G$44,IF(O9="sieć ciepłownicza",0,IF(O9="prąd",0,0)))))))</f>
        <v>0</v>
      </c>
      <c r="AG9" s="339">
        <f>IF(O9="węgiel",X9*[2]Z!$C$45,IF(O9="gaz",X9*[2]Z!$D$45,IF(O9="drewno",X9*[2]Z!$E$45,IF(O9="pelet",X9*[2]Z!$F$45,IF(O9="olej opałowy",X9*[2]Z!$G$45,IF(O9="sieć ciepłownicza",0,IF(O9="prąd",0,0)))))))</f>
        <v>0</v>
      </c>
      <c r="AH9" s="339">
        <f>IF(O9="węgiel",X9*[2]Z!$C$46,IF(O9="gaz",X9*[2]Z!$D$46,IF(O9="drewno",X9*[2]Z!$E$46,IF(O9="pelet",X9*[2]Z!$F$46,IF(O9="olej opałowy",X9*[2]Z!$G$46,IF(O9="sieć ciepłownicza",0,IF(O9="prąd",0,0)))))))</f>
        <v>0</v>
      </c>
      <c r="AI9" s="339">
        <f>IF(O9="węgiel",X9*[2]Z!$C$47,IF(O9="gaz",X9*[2]Z!$D$47,IF(O9="drewno",X9*[2]Z!$E$47,IF(O9="pelet",X9*[2]Z!$F$47,IF(O9="olej opałowy",X9*[2]Z!$G$47,IF(O9="sieć ciepłownicza",0,IF(O9="prąd",0,0)))))))</f>
        <v>0</v>
      </c>
      <c r="AJ9" s="339">
        <f>IF(O9="węgiel",X9*[2]Z!$C$48,IF(O9="gaz",X9*[2]Z!$D$48,IF(O9="drewno",X9*[2]Z!$E$48,IF(O9="pelet",X9*[2]Z!$F$48,IF(O9="olej opałowy",X9*[2]Z!$G$48,IF(O9="sieć ciepłownicza",0,IF(O9="prąd",0,0)))))))</f>
        <v>0</v>
      </c>
      <c r="AK9" s="339">
        <f>IF(O9="węgiel",X9*[2]Z!$C$49,IF(O9="gaz",X9*[2]Z!$D$49,IF(O9="drewno",X9*[2]Z!$E$49,IF(O9="pelet",X9*[2]Z!$F$49,IF(O9="olej opałowy",X9*[2]Z!$G$49,IF(O9="sieć ciepłownicza",0,IF(O9="prąd",0,0)))))))</f>
        <v>0</v>
      </c>
      <c r="AL9" s="339">
        <f>IF(O9="węgiel",X9*[2]Z!$C$50,IF(O9="gaz",X9*[2]Z!$D$50,IF(O9="drewno",X9*[2]Z!$E$50,IF(O9="pelet",X9*[2]Z!$F$50,IF(O9="olej opałowy",X9*[2]Z!$G$50,IF(O9="sieć ciepłownicza",0,IF(O9="prąd",0,0)))))))</f>
        <v>0</v>
      </c>
      <c r="AM9" s="172">
        <f>IF(T9="węgiel",W9*'[2]Założenia,wskaźniki, listy'!$C$44,IF(T9="gaz",W9*'[2]Założenia,wskaźniki, listy'!$D$44,IF(T9="drewno",W9*'[2]Założenia,wskaźniki, listy'!$E$44,IF(T9="pelet",W9*'[2]Założenia,wskaźniki, listy'!$F$44,IF(T9="olej opałowy",W9*'[2]Założenia,wskaźniki, listy'!$G$44,IF(T9="sieć ciepłownicza",0,IF(T9="prąd",0,0)))))))</f>
        <v>0</v>
      </c>
      <c r="AN9" s="172">
        <f>IF(U9="węgiel",X9*'[2]Założenia,wskaźniki, listy'!$C$45,IF(U9="gaz",X9*'[2]Założenia,wskaźniki, listy'!$D$45,IF(U9="drewno",X9*'[2]Założenia,wskaźniki, listy'!$E$45,IF(U9="pelet",X9*'[2]Założenia,wskaźniki, listy'!$F$45,IF(U9="olej opałowy",X9*'[2]Założenia,wskaźniki, listy'!$G$45,IF(U9="sieć ciepłownicza",0,IF(U9="prąd",0,0)))))))</f>
        <v>0</v>
      </c>
      <c r="AO9" s="172">
        <f>IF(U9="węgiel",X9*'[2]Założenia,wskaźniki, listy'!$C$46,IF(U9="gaz",X9*'[2]Założenia,wskaźniki, listy'!$D$46,IF(U9="drewno",X9*'[2]Założenia,wskaźniki, listy'!$E$46,IF(U9="pelet",X9*'[2]Założenia,wskaźniki, listy'!$F$46,IF(U9="olej opałowy",X9*'[2]Założenia,wskaźniki, listy'!$G$46,IF(U9="sieć ciepłownicza",0,IF(U9="prąd",0,0)))))))</f>
        <v>0</v>
      </c>
      <c r="AP9" s="172">
        <f>IF(U9="węgiel",X9*'[2]Założenia,wskaźniki, listy'!$C$47,IF(U9="gaz",X9*'[2]Założenia,wskaźniki, listy'!$D$47,IF(U9="drewno",X9*'[2]Założenia,wskaźniki, listy'!$E$47,IF(U9="pelet",X9*'[2]Założenia,wskaźniki, listy'!$F$47,IF(U9="olej opałowy",X9*'[2]Założenia,wskaźniki, listy'!$G$47,IF(U9="sieć ciepłownicza",0,IF(U9="prąd",0,0)))))))</f>
        <v>0</v>
      </c>
      <c r="AQ9" s="172">
        <f>IF(U9="węgiel",X9*'[2]Założenia,wskaźniki, listy'!$C$48,IF(U9="gaz",X9*'[2]Założenia,wskaźniki, listy'!$D$48,IF(U9="drewno",X9*'[2]Założenia,wskaźniki, listy'!$E$48,IF(U9="pelet",X9*'[2]Założenia,wskaźniki, listy'!$F$48,IF(U9="olej opałowy",X9*'[2]Założenia,wskaźniki, listy'!$G$48,IF(U9="sieć ciepłownicza",0,IF(U9="prąd",0,0)))))))</f>
        <v>0</v>
      </c>
      <c r="AR9" s="172">
        <f>IF(U9="węgiel",X9*'[2]Założenia,wskaźniki, listy'!$C$49,IF(U9="gaz",X9*'[2]Założenia,wskaźniki, listy'!$D$49,IF(U9="drewno",X9*'[2]Założenia,wskaźniki, listy'!$E$49,IF(U9="pelet",X9*'[2]Założenia,wskaźniki, listy'!$F$49,IF(U9="olej opałowy",X9*'[2]Założenia,wskaźniki, listy'!$G$49,IF(U9="sieć ciepłownicza",0,IF(U9="prąd",0,0)))))))</f>
        <v>0</v>
      </c>
      <c r="AS9" s="172">
        <f>IF(U9="węgiel",X9*'[2]Założenia,wskaźniki, listy'!$C$50,IF(U9="gaz",X9*'[2]Założenia,wskaźniki, listy'!$D$50,IF(U9="drewno",X9*'[2]Założenia,wskaźniki, listy'!$E$50,IF(U9="pelet",X9*'[2]Założenia,wskaźniki, listy'!$F$50,IF(U9="olej opałowy",X9*'[2]Założenia,wskaźniki, listy'!$G$50,IF(U9="sieć ciepłownicza",0,IF(U9="prąd",0,0)))))))</f>
        <v>0</v>
      </c>
      <c r="AT9" s="172">
        <f t="shared" si="3"/>
        <v>0</v>
      </c>
      <c r="AU9" s="172"/>
      <c r="AV9" s="340" t="e">
        <f t="shared" si="26"/>
        <v>#REF!</v>
      </c>
      <c r="AW9" s="340" t="e">
        <f t="shared" si="27"/>
        <v>#REF!</v>
      </c>
      <c r="AX9" s="340" t="e">
        <f t="shared" si="28"/>
        <v>#REF!</v>
      </c>
      <c r="AY9" s="340" t="e">
        <f t="shared" si="29"/>
        <v>#REF!</v>
      </c>
      <c r="AZ9" s="340" t="e">
        <f t="shared" si="30"/>
        <v>#REF!</v>
      </c>
      <c r="BA9" s="340" t="e">
        <f t="shared" si="31"/>
        <v>#REF!</v>
      </c>
      <c r="BB9" s="340" t="e">
        <f t="shared" si="32"/>
        <v>#REF!</v>
      </c>
      <c r="BC9" s="71"/>
      <c r="BD9" s="183"/>
      <c r="BE9" s="349"/>
      <c r="BF9" s="183"/>
      <c r="BG9" s="183"/>
      <c r="BH9" s="183"/>
      <c r="BI9" s="183"/>
      <c r="BJ9" s="183"/>
      <c r="BK9" s="249"/>
      <c r="BN9" s="245">
        <f t="shared" si="4"/>
        <v>0</v>
      </c>
      <c r="BO9" s="87" t="b">
        <f t="shared" si="5"/>
        <v>0</v>
      </c>
      <c r="BP9" s="87" t="b">
        <f t="shared" si="6"/>
        <v>0</v>
      </c>
      <c r="BQ9" s="87" t="b">
        <f t="shared" si="7"/>
        <v>0</v>
      </c>
      <c r="BR9" s="87" t="b">
        <f t="shared" si="8"/>
        <v>0</v>
      </c>
      <c r="BS9" s="87" t="b">
        <f t="shared" si="9"/>
        <v>0</v>
      </c>
      <c r="BT9" s="87" t="b">
        <f t="shared" si="10"/>
        <v>0</v>
      </c>
      <c r="BU9" s="87" t="b">
        <f t="shared" si="11"/>
        <v>0</v>
      </c>
      <c r="BV9" s="87" t="b">
        <f t="shared" si="12"/>
        <v>0</v>
      </c>
      <c r="BW9" s="246" t="b">
        <f t="shared" si="13"/>
        <v>0</v>
      </c>
      <c r="BX9" s="87" t="b">
        <f t="shared" si="14"/>
        <v>0</v>
      </c>
      <c r="BY9" s="87" t="b">
        <f t="shared" si="15"/>
        <v>0</v>
      </c>
      <c r="BZ9" s="87" t="b">
        <f t="shared" si="16"/>
        <v>0</v>
      </c>
      <c r="CA9" s="87" t="b">
        <f t="shared" si="17"/>
        <v>0</v>
      </c>
      <c r="CB9" s="87" t="b">
        <f t="shared" si="18"/>
        <v>0</v>
      </c>
      <c r="CC9" s="87" t="b">
        <f t="shared" si="19"/>
        <v>0</v>
      </c>
      <c r="CD9" s="245" t="b">
        <f t="shared" si="20"/>
        <v>0</v>
      </c>
      <c r="CE9" s="87" t="b">
        <f t="shared" si="21"/>
        <v>0</v>
      </c>
      <c r="CF9" s="87" t="b">
        <f t="shared" si="22"/>
        <v>0</v>
      </c>
      <c r="CG9" s="87" t="b">
        <f t="shared" si="23"/>
        <v>0</v>
      </c>
      <c r="CH9" s="87" t="b">
        <f t="shared" si="24"/>
        <v>0</v>
      </c>
      <c r="CI9" s="246" t="b">
        <f t="shared" si="25"/>
        <v>0</v>
      </c>
    </row>
    <row r="10" spans="1:89" s="236" customFormat="1" ht="8.25">
      <c r="A10" s="795">
        <v>14</v>
      </c>
      <c r="B10" s="234"/>
      <c r="C10" s="347" t="b">
        <f t="shared" si="1"/>
        <v>0</v>
      </c>
      <c r="D10" s="797"/>
      <c r="E10" s="797"/>
      <c r="F10" s="234"/>
      <c r="G10" s="234"/>
      <c r="H10" s="71"/>
      <c r="I10" s="71"/>
      <c r="J10" s="71"/>
      <c r="K10" s="71"/>
      <c r="L10" s="71"/>
      <c r="M10" s="71">
        <f>IF(F10&lt;=1966,'[2]Założenia,wskaźniki, listy'!$H$4,IF(F10&gt;1966,IF(F10&lt;=1985,'[2]Założenia,wskaźniki, listy'!$H$5,IF(F10&gt;1985,IF(F10&lt;=1992,'[2]Założenia,wskaźniki, listy'!$H$6,IF(F10&gt;1992,IF(F10&lt;=1996,'[2]Założenia,wskaźniki, listy'!$H$7,IF(F10&gt;1996,IF(F10&lt;=2013,'[2]Założenia,wskaźniki, listy'!$H$8)))))))))</f>
        <v>290</v>
      </c>
      <c r="N10" s="71"/>
      <c r="O10" s="231"/>
      <c r="P10" s="71"/>
      <c r="Q10" s="183"/>
      <c r="R10" s="183"/>
      <c r="S10" s="183" t="e">
        <f>(R10+#REF!)/2</f>
        <v>#REF!</v>
      </c>
      <c r="T10" s="71"/>
      <c r="U10" s="213">
        <f t="shared" si="33"/>
        <v>0</v>
      </c>
      <c r="V10" s="227">
        <f>IF(N10="kompletna",M10*G10*0.0036*'[2]Założenia,wskaźniki, listy'!$H$13,IF(N10="częściowa",M10*G10*0.0036*'[2]Założenia,wskaźniki, listy'!$H$14,IF(N10="brak",M10*G10*0.0036*'[2]Założenia,wskaźniki, listy'!$H$15,0)))</f>
        <v>0</v>
      </c>
      <c r="W10" s="172">
        <f>K10*'[2]Założenia,wskaźniki, listy'!$L$16</f>
        <v>0</v>
      </c>
      <c r="X10" s="182">
        <f>IF(O10="węgiel",P10*'[2]Założenia,wskaźniki, listy'!$B$4,IF(O10="gaz",P10*'[2]Założenia,wskaźniki, listy'!$B$5,IF(O10="drewno",P10*'[2]Założenia,wskaźniki, listy'!$B$6,IF(O10="pelet",P10*'[2]Założenia,wskaźniki, listy'!$B$7,IF(O10="olej opałowy",P10*'[2]Założenia,wskaźniki, listy'!$B$8,IF(O10="sieć ciepłownicza",0,0))))))</f>
        <v>0</v>
      </c>
      <c r="Y10" s="172">
        <f>IF(O10="węgiel",X10*'[2]Założenia,wskaźniki, listy'!$C$44,IF(O10="gaz",X10*'[2]Założenia,wskaźniki, listy'!$D$44,IF(O10="drewno",X10*'[2]Założenia,wskaźniki, listy'!$E$44,IF(O10="pelet",X10*'[2]Założenia,wskaźniki, listy'!$F$44,IF(O10="olej opałowy",X10*'[2]Założenia,wskaźniki, listy'!$G$44,IF(O10="sieć ciepłownicza",0,IF(O10="prąd",0,0)))))))</f>
        <v>0</v>
      </c>
      <c r="Z10" s="172">
        <f>IF(O10="węgiel",X10*'[2]Założenia,wskaźniki, listy'!$C$45,IF(O10="gaz",X10*'[2]Założenia,wskaźniki, listy'!$D$45,IF(O10="drewno",X10*'[2]Założenia,wskaźniki, listy'!$E$45,IF(O10="pelet",X10*'[2]Założenia,wskaźniki, listy'!$F$45,IF(O10="olej opałowy",X10*'[2]Założenia,wskaźniki, listy'!$G$45,IF(O10="sieć ciepłownicza",0,IF(O10="prąd",0,0)))))))</f>
        <v>0</v>
      </c>
      <c r="AA10" s="172">
        <f>IF(O10="węgiel",X10*'[2]Założenia,wskaźniki, listy'!$C$46,IF(O10="gaz",X10*'[2]Założenia,wskaźniki, listy'!$D$46,IF(O10="drewno",X10*'[2]Założenia,wskaźniki, listy'!$E$46,IF(O10="pelet",X10*'[2]Założenia,wskaźniki, listy'!$F$46,IF(O10="olej opałowy",X10*'[2]Założenia,wskaźniki, listy'!$G$46,IF(O10="sieć ciepłownicza",0,IF(O10="prąd",0,0)))))))</f>
        <v>0</v>
      </c>
      <c r="AB10" s="172">
        <f>IF(O10="węgiel",X10*'[2]Założenia,wskaźniki, listy'!$C$47,IF(O10="gaz",X10*'[2]Założenia,wskaźniki, listy'!$D$47,IF(O10="drewno",X10*'[2]Założenia,wskaźniki, listy'!$E$47,IF(O10="pelet",X10*'[2]Założenia,wskaźniki, listy'!$F$47,IF(O10="olej opałowy",X10*'[2]Założenia,wskaźniki, listy'!$G$47,IF(O10="sieć ciepłownicza",0,IF(O10="prąd",0,0)))))))</f>
        <v>0</v>
      </c>
      <c r="AC10" s="172">
        <f>IF(O10="węgiel",X10*'[2]Założenia,wskaźniki, listy'!$C$48,IF(O10="gaz",X10*'[2]Założenia,wskaźniki, listy'!$D$48,IF(O10="drewno",X10*'[2]Założenia,wskaźniki, listy'!$E$48,IF(O10="pelet",X10*'[2]Założenia,wskaźniki, listy'!$F$48,IF(O10="olej opałowy",X10*'[2]Założenia,wskaźniki, listy'!$G$48,IF(O10="sieć ciepłownicza",0,IF(O10="prąd",0,0)))))))</f>
        <v>0</v>
      </c>
      <c r="AD10" s="172">
        <f>IF(O10="węgiel",X10*'[2]Założenia,wskaźniki, listy'!$C$49,IF(O10="gaz",X10*'[2]Założenia,wskaźniki, listy'!$D$49,IF(O10="drewno",X10*'[2]Założenia,wskaźniki, listy'!$E$49,IF(O10="pelet",X10*'[2]Założenia,wskaźniki, listy'!$F$49,IF(O10="olej opałowy",X10*'[2]Założenia,wskaźniki, listy'!$G$49,IF(O10="sieć ciepłownicza",0,IF(O10="prąd",0,0)))))))</f>
        <v>0</v>
      </c>
      <c r="AE10" s="172">
        <f>IF(O10="węgiel",X10*'[2]Założenia,wskaźniki, listy'!$C$50,IF(O10="gaz",X10*'[2]Założenia,wskaźniki, listy'!$D$50,IF(O10="drewno",X10*'[2]Założenia,wskaźniki, listy'!$E$50,IF(O10="pelet",X10*'[2]Założenia,wskaźniki, listy'!$F$50,IF(O10="olej opałowy",X10*'[2]Założenia,wskaźniki, listy'!$G$50,IF(O10="sieć ciepłownicza",0,IF(O10="prąd",0,0)))))))</f>
        <v>0</v>
      </c>
      <c r="AF10" s="339">
        <f>IF(O10="węgiel",X10*[2]Z!$C$44,IF(O10="gaz",X10*[2]Z!$D$44,IF(O10="drewno",X10*[2]Z!$E$44,IF(O10="pelet",X10*[2]Z!$F$44,IF(O10="olej opałowy",X10*[2]Z!$G$44,IF(O10="sieć ciepłownicza",0,IF(O10="prąd",0,0)))))))</f>
        <v>0</v>
      </c>
      <c r="AG10" s="339">
        <f>IF(O10="węgiel",X10*[2]Z!$C$45,IF(O10="gaz",X10*[2]Z!$D$45,IF(O10="drewno",X10*[2]Z!$E$45,IF(O10="pelet",X10*[2]Z!$F$45,IF(O10="olej opałowy",X10*[2]Z!$G$45,IF(O10="sieć ciepłownicza",0,IF(O10="prąd",0,0)))))))</f>
        <v>0</v>
      </c>
      <c r="AH10" s="339">
        <f>IF(O10="węgiel",X10*[2]Z!$C$46,IF(O10="gaz",X10*[2]Z!$D$46,IF(O10="drewno",X10*[2]Z!$E$46,IF(O10="pelet",X10*[2]Z!$F$46,IF(O10="olej opałowy",X10*[2]Z!$G$46,IF(O10="sieć ciepłownicza",0,IF(O10="prąd",0,0)))))))</f>
        <v>0</v>
      </c>
      <c r="AI10" s="339">
        <f>IF(O10="węgiel",X10*[2]Z!$C$47,IF(O10="gaz",X10*[2]Z!$D$47,IF(O10="drewno",X10*[2]Z!$E$47,IF(O10="pelet",X10*[2]Z!$F$47,IF(O10="olej opałowy",X10*[2]Z!$G$47,IF(O10="sieć ciepłownicza",0,IF(O10="prąd",0,0)))))))</f>
        <v>0</v>
      </c>
      <c r="AJ10" s="339">
        <f>IF(O10="węgiel",X10*[2]Z!$C$48,IF(O10="gaz",X10*[2]Z!$D$48,IF(O10="drewno",X10*[2]Z!$E$48,IF(O10="pelet",X10*[2]Z!$F$48,IF(O10="olej opałowy",X10*[2]Z!$G$48,IF(O10="sieć ciepłownicza",0,IF(O10="prąd",0,0)))))))</f>
        <v>0</v>
      </c>
      <c r="AK10" s="339">
        <f>IF(O10="węgiel",X10*[2]Z!$C$49,IF(O10="gaz",X10*[2]Z!$D$49,IF(O10="drewno",X10*[2]Z!$E$49,IF(O10="pelet",X10*[2]Z!$F$49,IF(O10="olej opałowy",X10*[2]Z!$G$49,IF(O10="sieć ciepłownicza",0,IF(O10="prąd",0,0)))))))</f>
        <v>0</v>
      </c>
      <c r="AL10" s="339">
        <f>IF(O10="węgiel",X10*[2]Z!$C$50,IF(O10="gaz",X10*[2]Z!$D$50,IF(O10="drewno",X10*[2]Z!$E$50,IF(O10="pelet",X10*[2]Z!$F$50,IF(O10="olej opałowy",X10*[2]Z!$G$50,IF(O10="sieć ciepłownicza",0,IF(O10="prąd",0,0)))))))</f>
        <v>0</v>
      </c>
      <c r="AM10" s="172">
        <f>IF(T10="węgiel",W10*'[2]Założenia,wskaźniki, listy'!$C$44,IF(T10="gaz",W10*'[2]Założenia,wskaźniki, listy'!$D$44,IF(T10="drewno",W10*'[2]Założenia,wskaźniki, listy'!$E$44,IF(T10="pelet",W10*'[2]Założenia,wskaźniki, listy'!$F$44,IF(T10="olej opałowy",W10*'[2]Założenia,wskaźniki, listy'!$G$44,IF(T10="sieć ciepłownicza",0,IF(T10="prąd",0,0)))))))</f>
        <v>0</v>
      </c>
      <c r="AN10" s="172">
        <f>IF(U10="węgiel",X10*'[2]Założenia,wskaźniki, listy'!$C$45,IF(U10="gaz",X10*'[2]Założenia,wskaźniki, listy'!$D$45,IF(U10="drewno",X10*'[2]Założenia,wskaźniki, listy'!$E$45,IF(U10="pelet",X10*'[2]Założenia,wskaźniki, listy'!$F$45,IF(U10="olej opałowy",X10*'[2]Założenia,wskaźniki, listy'!$G$45,IF(U10="sieć ciepłownicza",0,IF(U10="prąd",0,0)))))))</f>
        <v>0</v>
      </c>
      <c r="AO10" s="172">
        <f>IF(U10="węgiel",X10*'[2]Założenia,wskaźniki, listy'!$C$46,IF(U10="gaz",X10*'[2]Założenia,wskaźniki, listy'!$D$46,IF(U10="drewno",X10*'[2]Założenia,wskaźniki, listy'!$E$46,IF(U10="pelet",X10*'[2]Założenia,wskaźniki, listy'!$F$46,IF(U10="olej opałowy",X10*'[2]Założenia,wskaźniki, listy'!$G$46,IF(U10="sieć ciepłownicza",0,IF(U10="prąd",0,0)))))))</f>
        <v>0</v>
      </c>
      <c r="AP10" s="172">
        <f>IF(U10="węgiel",X10*'[2]Założenia,wskaźniki, listy'!$C$47,IF(U10="gaz",X10*'[2]Założenia,wskaźniki, listy'!$D$47,IF(U10="drewno",X10*'[2]Założenia,wskaźniki, listy'!$E$47,IF(U10="pelet",X10*'[2]Założenia,wskaźniki, listy'!$F$47,IF(U10="olej opałowy",X10*'[2]Założenia,wskaźniki, listy'!$G$47,IF(U10="sieć ciepłownicza",0,IF(U10="prąd",0,0)))))))</f>
        <v>0</v>
      </c>
      <c r="AQ10" s="172">
        <f>IF(U10="węgiel",X10*'[2]Założenia,wskaźniki, listy'!$C$48,IF(U10="gaz",X10*'[2]Założenia,wskaźniki, listy'!$D$48,IF(U10="drewno",X10*'[2]Założenia,wskaźniki, listy'!$E$48,IF(U10="pelet",X10*'[2]Założenia,wskaźniki, listy'!$F$48,IF(U10="olej opałowy",X10*'[2]Założenia,wskaźniki, listy'!$G$48,IF(U10="sieć ciepłownicza",0,IF(U10="prąd",0,0)))))))</f>
        <v>0</v>
      </c>
      <c r="AR10" s="172">
        <f>IF(U10="węgiel",X10*'[2]Założenia,wskaźniki, listy'!$C$49,IF(U10="gaz",X10*'[2]Założenia,wskaźniki, listy'!$D$49,IF(U10="drewno",X10*'[2]Założenia,wskaźniki, listy'!$E$49,IF(U10="pelet",X10*'[2]Założenia,wskaźniki, listy'!$F$49,IF(U10="olej opałowy",X10*'[2]Założenia,wskaźniki, listy'!$G$49,IF(U10="sieć ciepłownicza",0,IF(U10="prąd",0,0)))))))</f>
        <v>0</v>
      </c>
      <c r="AS10" s="172">
        <f>IF(U10="węgiel",X10*'[2]Założenia,wskaźniki, listy'!$C$50,IF(U10="gaz",X10*'[2]Założenia,wskaźniki, listy'!$D$50,IF(U10="drewno",X10*'[2]Założenia,wskaźniki, listy'!$E$50,IF(U10="pelet",X10*'[2]Założenia,wskaźniki, listy'!$F$50,IF(U10="olej opałowy",X10*'[2]Założenia,wskaźniki, listy'!$G$50,IF(U10="sieć ciepłownicza",0,IF(U10="prąd",0,0)))))))</f>
        <v>0</v>
      </c>
      <c r="AT10" s="172">
        <f t="shared" si="3"/>
        <v>0</v>
      </c>
      <c r="AU10" s="172"/>
      <c r="AV10" s="340" t="e">
        <f t="shared" si="26"/>
        <v>#REF!</v>
      </c>
      <c r="AW10" s="340" t="e">
        <f t="shared" si="27"/>
        <v>#REF!</v>
      </c>
      <c r="AX10" s="340" t="e">
        <f t="shared" si="28"/>
        <v>#REF!</v>
      </c>
      <c r="AY10" s="340" t="e">
        <f t="shared" si="29"/>
        <v>#REF!</v>
      </c>
      <c r="AZ10" s="340" t="e">
        <f t="shared" si="30"/>
        <v>#REF!</v>
      </c>
      <c r="BA10" s="340" t="e">
        <f t="shared" si="31"/>
        <v>#REF!</v>
      </c>
      <c r="BB10" s="340" t="e">
        <f t="shared" si="32"/>
        <v>#REF!</v>
      </c>
      <c r="BC10" s="71"/>
      <c r="BD10" s="183"/>
      <c r="BE10" s="349"/>
      <c r="BF10" s="183"/>
      <c r="BG10" s="183"/>
      <c r="BH10" s="183"/>
      <c r="BI10" s="183"/>
      <c r="BJ10" s="183"/>
      <c r="BK10" s="249"/>
      <c r="BN10" s="245">
        <f t="shared" si="4"/>
        <v>0</v>
      </c>
      <c r="BO10" s="87" t="b">
        <f t="shared" si="5"/>
        <v>0</v>
      </c>
      <c r="BP10" s="87" t="b">
        <f t="shared" si="6"/>
        <v>0</v>
      </c>
      <c r="BQ10" s="87" t="b">
        <f t="shared" si="7"/>
        <v>0</v>
      </c>
      <c r="BR10" s="87" t="b">
        <f t="shared" si="8"/>
        <v>0</v>
      </c>
      <c r="BS10" s="87" t="b">
        <f t="shared" si="9"/>
        <v>0</v>
      </c>
      <c r="BT10" s="87" t="b">
        <f t="shared" si="10"/>
        <v>0</v>
      </c>
      <c r="BU10" s="87" t="b">
        <f t="shared" si="11"/>
        <v>0</v>
      </c>
      <c r="BV10" s="87" t="b">
        <f t="shared" si="12"/>
        <v>0</v>
      </c>
      <c r="BW10" s="246" t="b">
        <f t="shared" si="13"/>
        <v>0</v>
      </c>
      <c r="BX10" s="87" t="b">
        <f t="shared" si="14"/>
        <v>0</v>
      </c>
      <c r="BY10" s="87" t="b">
        <f t="shared" si="15"/>
        <v>0</v>
      </c>
      <c r="BZ10" s="87" t="b">
        <f t="shared" si="16"/>
        <v>0</v>
      </c>
      <c r="CA10" s="87" t="b">
        <f t="shared" si="17"/>
        <v>0</v>
      </c>
      <c r="CB10" s="87" t="b">
        <f t="shared" si="18"/>
        <v>0</v>
      </c>
      <c r="CC10" s="87" t="b">
        <f t="shared" si="19"/>
        <v>0</v>
      </c>
      <c r="CD10" s="245" t="b">
        <f t="shared" si="20"/>
        <v>0</v>
      </c>
      <c r="CE10" s="87" t="b">
        <f t="shared" si="21"/>
        <v>0</v>
      </c>
      <c r="CF10" s="87" t="b">
        <f t="shared" si="22"/>
        <v>0</v>
      </c>
      <c r="CG10" s="87" t="b">
        <f t="shared" si="23"/>
        <v>0</v>
      </c>
      <c r="CH10" s="87" t="b">
        <f t="shared" si="24"/>
        <v>0</v>
      </c>
      <c r="CI10" s="246" t="b">
        <f t="shared" si="25"/>
        <v>0</v>
      </c>
    </row>
    <row r="11" spans="1:89" s="236" customFormat="1" ht="8.25">
      <c r="A11" s="796"/>
      <c r="B11" s="234">
        <f>SUM($C$8:C11)</f>
        <v>0</v>
      </c>
      <c r="C11" s="347" t="b">
        <f t="shared" si="1"/>
        <v>0</v>
      </c>
      <c r="D11" s="798"/>
      <c r="E11" s="798"/>
      <c r="F11" s="234"/>
      <c r="G11" s="234"/>
      <c r="H11" s="71"/>
      <c r="I11" s="71"/>
      <c r="J11" s="71"/>
      <c r="K11" s="71"/>
      <c r="L11" s="71"/>
      <c r="M11" s="71">
        <f>IF(F11&lt;=1966,'[2]Założenia,wskaźniki, listy'!$H$4,IF(F11&gt;1966,IF(F11&lt;=1985,'[2]Założenia,wskaźniki, listy'!$H$5,IF(F11&gt;1985,IF(F11&lt;=1992,'[2]Założenia,wskaźniki, listy'!$H$6,IF(F11&gt;1992,IF(F11&lt;=1996,'[2]Założenia,wskaźniki, listy'!$H$7,IF(F11&gt;1996,IF(F11&lt;=2013,'[2]Założenia,wskaźniki, listy'!$H$8)))))))))</f>
        <v>290</v>
      </c>
      <c r="N11" s="71"/>
      <c r="O11" s="231"/>
      <c r="P11" s="71"/>
      <c r="Q11" s="183"/>
      <c r="R11" s="183"/>
      <c r="S11" s="183" t="e">
        <f>(R11+#REF!)/2</f>
        <v>#REF!</v>
      </c>
      <c r="T11" s="71"/>
      <c r="U11" s="213">
        <f t="shared" si="33"/>
        <v>0</v>
      </c>
      <c r="V11" s="227">
        <f>IF(N11="kompletna",M11*G11*0.0036*'[2]Założenia,wskaźniki, listy'!$H$13,IF(N11="częściowa",M11*G11*0.0036*'[2]Założenia,wskaźniki, listy'!$H$14,IF(N11="brak",M11*G11*0.0036*'[2]Założenia,wskaźniki, listy'!$H$15,0)))</f>
        <v>0</v>
      </c>
      <c r="W11" s="172">
        <f>K11*'[2]Założenia,wskaźniki, listy'!$L$16</f>
        <v>0</v>
      </c>
      <c r="X11" s="182">
        <f>IF(O11="węgiel",P11*'[2]Założenia,wskaźniki, listy'!$B$4,IF(O11="gaz",P11*'[2]Założenia,wskaźniki, listy'!$B$5,IF(O11="drewno",P11*'[2]Założenia,wskaźniki, listy'!$B$6,IF(O11="pelet",P11*'[2]Założenia,wskaźniki, listy'!$B$7,IF(O11="olej opałowy",P11*'[2]Założenia,wskaźniki, listy'!$B$8,IF(O11="sieć ciepłownicza",0,0))))))</f>
        <v>0</v>
      </c>
      <c r="Y11" s="172">
        <f>IF(O11="węgiel",X11*'[2]Założenia,wskaźniki, listy'!$C$44,IF(O11="gaz",X11*'[2]Założenia,wskaźniki, listy'!$D$44,IF(O11="drewno",X11*'[2]Założenia,wskaźniki, listy'!$E$44,IF(O11="pelet",X11*'[2]Założenia,wskaźniki, listy'!$F$44,IF(O11="olej opałowy",X11*'[2]Założenia,wskaźniki, listy'!$G$44,IF(O11="sieć ciepłownicza",0,IF(O11="prąd",0,0)))))))</f>
        <v>0</v>
      </c>
      <c r="Z11" s="172">
        <f>IF(O11="węgiel",X11*'[2]Założenia,wskaźniki, listy'!$C$45,IF(O11="gaz",X11*'[2]Założenia,wskaźniki, listy'!$D$45,IF(O11="drewno",X11*'[2]Założenia,wskaźniki, listy'!$E$45,IF(O11="pelet",X11*'[2]Założenia,wskaźniki, listy'!$F$45,IF(O11="olej opałowy",X11*'[2]Założenia,wskaźniki, listy'!$G$45,IF(O11="sieć ciepłownicza",0,IF(O11="prąd",0,0)))))))</f>
        <v>0</v>
      </c>
      <c r="AA11" s="172">
        <f>IF(O11="węgiel",X11*'[2]Założenia,wskaźniki, listy'!$C$46,IF(O11="gaz",X11*'[2]Założenia,wskaźniki, listy'!$D$46,IF(O11="drewno",X11*'[2]Założenia,wskaźniki, listy'!$E$46,IF(O11="pelet",X11*'[2]Założenia,wskaźniki, listy'!$F$46,IF(O11="olej opałowy",X11*'[2]Założenia,wskaźniki, listy'!$G$46,IF(O11="sieć ciepłownicza",0,IF(O11="prąd",0,0)))))))</f>
        <v>0</v>
      </c>
      <c r="AB11" s="172">
        <f>IF(O11="węgiel",X11*'[2]Założenia,wskaźniki, listy'!$C$47,IF(O11="gaz",X11*'[2]Założenia,wskaźniki, listy'!$D$47,IF(O11="drewno",X11*'[2]Założenia,wskaźniki, listy'!$E$47,IF(O11="pelet",X11*'[2]Założenia,wskaźniki, listy'!$F$47,IF(O11="olej opałowy",X11*'[2]Założenia,wskaźniki, listy'!$G$47,IF(O11="sieć ciepłownicza",0,IF(O11="prąd",0,0)))))))</f>
        <v>0</v>
      </c>
      <c r="AC11" s="172">
        <f>IF(O11="węgiel",X11*'[2]Założenia,wskaźniki, listy'!$C$48,IF(O11="gaz",X11*'[2]Założenia,wskaźniki, listy'!$D$48,IF(O11="drewno",X11*'[2]Założenia,wskaźniki, listy'!$E$48,IF(O11="pelet",X11*'[2]Założenia,wskaźniki, listy'!$F$48,IF(O11="olej opałowy",X11*'[2]Założenia,wskaźniki, listy'!$G$48,IF(O11="sieć ciepłownicza",0,IF(O11="prąd",0,0)))))))</f>
        <v>0</v>
      </c>
      <c r="AD11" s="172">
        <f>IF(O11="węgiel",X11*'[2]Założenia,wskaźniki, listy'!$C$49,IF(O11="gaz",X11*'[2]Założenia,wskaźniki, listy'!$D$49,IF(O11="drewno",X11*'[2]Założenia,wskaźniki, listy'!$E$49,IF(O11="pelet",X11*'[2]Założenia,wskaźniki, listy'!$F$49,IF(O11="olej opałowy",X11*'[2]Założenia,wskaźniki, listy'!$G$49,IF(O11="sieć ciepłownicza",0,IF(O11="prąd",0,0)))))))</f>
        <v>0</v>
      </c>
      <c r="AE11" s="172">
        <f>IF(O11="węgiel",X11*'[2]Założenia,wskaźniki, listy'!$C$50,IF(O11="gaz",X11*'[2]Założenia,wskaźniki, listy'!$D$50,IF(O11="drewno",X11*'[2]Założenia,wskaźniki, listy'!$E$50,IF(O11="pelet",X11*'[2]Założenia,wskaźniki, listy'!$F$50,IF(O11="olej opałowy",X11*'[2]Założenia,wskaźniki, listy'!$G$50,IF(O11="sieć ciepłownicza",0,IF(O11="prąd",0,0)))))))</f>
        <v>0</v>
      </c>
      <c r="AF11" s="339">
        <f>IF(O11="węgiel",X11*[2]Z!$C$44,IF(O11="gaz",X11*[2]Z!$D$44,IF(O11="drewno",X11*[2]Z!$E$44,IF(O11="pelet",X11*[2]Z!$F$44,IF(O11="olej opałowy",X11*[2]Z!$G$44,IF(O11="sieć ciepłownicza",0,IF(O11="prąd",0,0)))))))</f>
        <v>0</v>
      </c>
      <c r="AG11" s="339">
        <f>IF(O11="węgiel",X11*[2]Z!$C$45,IF(O11="gaz",X11*[2]Z!$D$45,IF(O11="drewno",X11*[2]Z!$E$45,IF(O11="pelet",X11*[2]Z!$F$45,IF(O11="olej opałowy",X11*[2]Z!$G$45,IF(O11="sieć ciepłownicza",0,IF(O11="prąd",0,0)))))))</f>
        <v>0</v>
      </c>
      <c r="AH11" s="339">
        <f>IF(O11="węgiel",X11*[2]Z!$C$46,IF(O11="gaz",X11*[2]Z!$D$46,IF(O11="drewno",X11*[2]Z!$E$46,IF(O11="pelet",X11*[2]Z!$F$46,IF(O11="olej opałowy",X11*[2]Z!$G$46,IF(O11="sieć ciepłownicza",0,IF(O11="prąd",0,0)))))))</f>
        <v>0</v>
      </c>
      <c r="AI11" s="339">
        <f>IF(O11="węgiel",X11*[2]Z!$C$47,IF(O11="gaz",X11*[2]Z!$D$47,IF(O11="drewno",X11*[2]Z!$E$47,IF(O11="pelet",X11*[2]Z!$F$47,IF(O11="olej opałowy",X11*[2]Z!$G$47,IF(O11="sieć ciepłownicza",0,IF(O11="prąd",0,0)))))))</f>
        <v>0</v>
      </c>
      <c r="AJ11" s="339">
        <f>IF(O11="węgiel",X11*[2]Z!$C$48,IF(O11="gaz",X11*[2]Z!$D$48,IF(O11="drewno",X11*[2]Z!$E$48,IF(O11="pelet",X11*[2]Z!$F$48,IF(O11="olej opałowy",X11*[2]Z!$G$48,IF(O11="sieć ciepłownicza",0,IF(O11="prąd",0,0)))))))</f>
        <v>0</v>
      </c>
      <c r="AK11" s="339">
        <f>IF(O11="węgiel",X11*[2]Z!$C$49,IF(O11="gaz",X11*[2]Z!$D$49,IF(O11="drewno",X11*[2]Z!$E$49,IF(O11="pelet",X11*[2]Z!$F$49,IF(O11="olej opałowy",X11*[2]Z!$G$49,IF(O11="sieć ciepłownicza",0,IF(O11="prąd",0,0)))))))</f>
        <v>0</v>
      </c>
      <c r="AL11" s="339">
        <f>IF(O11="węgiel",X11*[2]Z!$C$50,IF(O11="gaz",X11*[2]Z!$D$50,IF(O11="drewno",X11*[2]Z!$E$50,IF(O11="pelet",X11*[2]Z!$F$50,IF(O11="olej opałowy",X11*[2]Z!$G$50,IF(O11="sieć ciepłownicza",0,IF(O11="prąd",0,0)))))))</f>
        <v>0</v>
      </c>
      <c r="AM11" s="172">
        <f>IF(T11="węgiel",W11*'[2]Założenia,wskaźniki, listy'!$C$44,IF(T11="gaz",W11*'[2]Założenia,wskaźniki, listy'!$D$44,IF(T11="drewno",W11*'[2]Założenia,wskaźniki, listy'!$E$44,IF(T11="pelet",W11*'[2]Założenia,wskaźniki, listy'!$F$44,IF(T11="olej opałowy",W11*'[2]Założenia,wskaźniki, listy'!$G$44,IF(T11="sieć ciepłownicza",0,IF(T11="prąd",0,0)))))))</f>
        <v>0</v>
      </c>
      <c r="AN11" s="172">
        <f>IF(U11="węgiel",X11*'[2]Założenia,wskaźniki, listy'!$C$45,IF(U11="gaz",X11*'[2]Założenia,wskaźniki, listy'!$D$45,IF(U11="drewno",X11*'[2]Założenia,wskaźniki, listy'!$E$45,IF(U11="pelet",X11*'[2]Założenia,wskaźniki, listy'!$F$45,IF(U11="olej opałowy",X11*'[2]Założenia,wskaźniki, listy'!$G$45,IF(U11="sieć ciepłownicza",0,IF(U11="prąd",0,0)))))))</f>
        <v>0</v>
      </c>
      <c r="AO11" s="172">
        <f>IF(U11="węgiel",X11*'[2]Założenia,wskaźniki, listy'!$C$46,IF(U11="gaz",X11*'[2]Założenia,wskaźniki, listy'!$D$46,IF(U11="drewno",X11*'[2]Założenia,wskaźniki, listy'!$E$46,IF(U11="pelet",X11*'[2]Założenia,wskaźniki, listy'!$F$46,IF(U11="olej opałowy",X11*'[2]Założenia,wskaźniki, listy'!$G$46,IF(U11="sieć ciepłownicza",0,IF(U11="prąd",0,0)))))))</f>
        <v>0</v>
      </c>
      <c r="AP11" s="172">
        <f>IF(U11="węgiel",X11*'[2]Założenia,wskaźniki, listy'!$C$47,IF(U11="gaz",X11*'[2]Założenia,wskaźniki, listy'!$D$47,IF(U11="drewno",X11*'[2]Założenia,wskaźniki, listy'!$E$47,IF(U11="pelet",X11*'[2]Założenia,wskaźniki, listy'!$F$47,IF(U11="olej opałowy",X11*'[2]Założenia,wskaźniki, listy'!$G$47,IF(U11="sieć ciepłownicza",0,IF(U11="prąd",0,0)))))))</f>
        <v>0</v>
      </c>
      <c r="AQ11" s="172">
        <f>IF(U11="węgiel",X11*'[2]Założenia,wskaźniki, listy'!$C$48,IF(U11="gaz",X11*'[2]Założenia,wskaźniki, listy'!$D$48,IF(U11="drewno",X11*'[2]Założenia,wskaźniki, listy'!$E$48,IF(U11="pelet",X11*'[2]Założenia,wskaźniki, listy'!$F$48,IF(U11="olej opałowy",X11*'[2]Założenia,wskaźniki, listy'!$G$48,IF(U11="sieć ciepłownicza",0,IF(U11="prąd",0,0)))))))</f>
        <v>0</v>
      </c>
      <c r="AR11" s="172">
        <f>IF(U11="węgiel",X11*'[2]Założenia,wskaźniki, listy'!$C$49,IF(U11="gaz",X11*'[2]Założenia,wskaźniki, listy'!$D$49,IF(U11="drewno",X11*'[2]Założenia,wskaźniki, listy'!$E$49,IF(U11="pelet",X11*'[2]Założenia,wskaźniki, listy'!$F$49,IF(U11="olej opałowy",X11*'[2]Założenia,wskaźniki, listy'!$G$49,IF(U11="sieć ciepłownicza",0,IF(U11="prąd",0,0)))))))</f>
        <v>0</v>
      </c>
      <c r="AS11" s="172">
        <f>IF(U11="węgiel",X11*'[2]Założenia,wskaźniki, listy'!$C$50,IF(U11="gaz",X11*'[2]Założenia,wskaźniki, listy'!$D$50,IF(U11="drewno",X11*'[2]Założenia,wskaźniki, listy'!$E$50,IF(U11="pelet",X11*'[2]Założenia,wskaźniki, listy'!$F$50,IF(U11="olej opałowy",X11*'[2]Założenia,wskaźniki, listy'!$G$50,IF(U11="sieć ciepłownicza",0,IF(U11="prąd",0,0)))))))</f>
        <v>0</v>
      </c>
      <c r="AT11" s="172">
        <f t="shared" si="3"/>
        <v>0</v>
      </c>
      <c r="AU11" s="172"/>
      <c r="AV11" s="340" t="e">
        <f t="shared" si="26"/>
        <v>#REF!</v>
      </c>
      <c r="AW11" s="340" t="e">
        <f t="shared" si="27"/>
        <v>#REF!</v>
      </c>
      <c r="AX11" s="340" t="e">
        <f t="shared" si="28"/>
        <v>#REF!</v>
      </c>
      <c r="AY11" s="340" t="e">
        <f t="shared" si="29"/>
        <v>#REF!</v>
      </c>
      <c r="AZ11" s="340" t="e">
        <f t="shared" si="30"/>
        <v>#REF!</v>
      </c>
      <c r="BA11" s="340" t="e">
        <f t="shared" si="31"/>
        <v>#REF!</v>
      </c>
      <c r="BB11" s="340" t="e">
        <f t="shared" si="32"/>
        <v>#REF!</v>
      </c>
      <c r="BC11" s="71"/>
      <c r="BD11" s="183"/>
      <c r="BE11" s="349"/>
      <c r="BF11" s="183"/>
      <c r="BG11" s="183"/>
      <c r="BH11" s="183"/>
      <c r="BI11" s="183"/>
      <c r="BJ11" s="183"/>
      <c r="BK11" s="249"/>
      <c r="BN11" s="245">
        <f t="shared" si="4"/>
        <v>0</v>
      </c>
      <c r="BO11" s="87" t="b">
        <f t="shared" si="5"/>
        <v>0</v>
      </c>
      <c r="BP11" s="87" t="b">
        <f t="shared" si="6"/>
        <v>0</v>
      </c>
      <c r="BQ11" s="87" t="b">
        <f t="shared" si="7"/>
        <v>0</v>
      </c>
      <c r="BR11" s="87" t="b">
        <f t="shared" si="8"/>
        <v>0</v>
      </c>
      <c r="BS11" s="87" t="b">
        <f t="shared" si="9"/>
        <v>0</v>
      </c>
      <c r="BT11" s="87" t="b">
        <f t="shared" si="10"/>
        <v>0</v>
      </c>
      <c r="BU11" s="87" t="b">
        <f t="shared" si="11"/>
        <v>0</v>
      </c>
      <c r="BV11" s="87" t="b">
        <f t="shared" si="12"/>
        <v>0</v>
      </c>
      <c r="BW11" s="246" t="b">
        <f t="shared" si="13"/>
        <v>0</v>
      </c>
      <c r="BX11" s="87" t="b">
        <f t="shared" si="14"/>
        <v>0</v>
      </c>
      <c r="BY11" s="87" t="b">
        <f t="shared" si="15"/>
        <v>0</v>
      </c>
      <c r="BZ11" s="87" t="b">
        <f t="shared" si="16"/>
        <v>0</v>
      </c>
      <c r="CA11" s="87" t="b">
        <f t="shared" si="17"/>
        <v>0</v>
      </c>
      <c r="CB11" s="87" t="b">
        <f t="shared" si="18"/>
        <v>0</v>
      </c>
      <c r="CC11" s="87" t="b">
        <f t="shared" si="19"/>
        <v>0</v>
      </c>
      <c r="CD11" s="245" t="b">
        <f t="shared" si="20"/>
        <v>0</v>
      </c>
      <c r="CE11" s="87" t="b">
        <f t="shared" si="21"/>
        <v>0</v>
      </c>
      <c r="CF11" s="87" t="b">
        <f t="shared" si="22"/>
        <v>0</v>
      </c>
      <c r="CG11" s="87" t="b">
        <f t="shared" si="23"/>
        <v>0</v>
      </c>
      <c r="CH11" s="87" t="b">
        <f t="shared" si="24"/>
        <v>0</v>
      </c>
      <c r="CI11" s="246" t="b">
        <f t="shared" si="25"/>
        <v>0</v>
      </c>
    </row>
    <row r="12" spans="1:89" s="236" customFormat="1" ht="8.25">
      <c r="A12" s="248">
        <v>16</v>
      </c>
      <c r="B12" s="234"/>
      <c r="C12" s="347" t="b">
        <f t="shared" si="1"/>
        <v>0</v>
      </c>
      <c r="D12" s="235"/>
      <c r="E12" s="234"/>
      <c r="F12" s="234"/>
      <c r="G12" s="234"/>
      <c r="H12" s="71"/>
      <c r="I12" s="71"/>
      <c r="J12" s="71"/>
      <c r="K12" s="71"/>
      <c r="L12" s="71"/>
      <c r="M12" s="71">
        <f>IF(F12&lt;=1966,'[2]Założenia,wskaźniki, listy'!$H$4,IF(F12&gt;1966,IF(F12&lt;=1985,'[2]Założenia,wskaźniki, listy'!$H$5,IF(F12&gt;1985,IF(F12&lt;=1992,'[2]Założenia,wskaźniki, listy'!$H$6,IF(F12&gt;1992,IF(F12&lt;=1996,'[2]Założenia,wskaźniki, listy'!$H$7,IF(F12&gt;1996,IF(F12&lt;=2013,'[2]Założenia,wskaźniki, listy'!$H$8)))))))))</f>
        <v>290</v>
      </c>
      <c r="N12" s="71"/>
      <c r="O12" s="231"/>
      <c r="P12" s="71"/>
      <c r="Q12" s="183"/>
      <c r="R12" s="183"/>
      <c r="S12" s="183" t="e">
        <f>(R12+#REF!)/2</f>
        <v>#REF!</v>
      </c>
      <c r="T12" s="71"/>
      <c r="U12" s="213">
        <f t="shared" si="33"/>
        <v>0</v>
      </c>
      <c r="V12" s="227">
        <f>IF(N12="kompletna",M12*G12*0.0036*'[2]Założenia,wskaźniki, listy'!$H$13,IF(N12="częściowa",M12*G12*0.0036*'[2]Założenia,wskaźniki, listy'!$H$14,IF(N12="brak",M12*G12*0.0036*'[2]Założenia,wskaźniki, listy'!$H$15,0)))</f>
        <v>0</v>
      </c>
      <c r="W12" s="172">
        <f>K12*'[2]Założenia,wskaźniki, listy'!$L$16</f>
        <v>0</v>
      </c>
      <c r="X12" s="182">
        <f>IF(O12="węgiel",P12*'[2]Założenia,wskaźniki, listy'!$B$4,IF(O12="gaz",P12*'[2]Założenia,wskaźniki, listy'!$B$5,IF(O12="drewno",P12*'[2]Założenia,wskaźniki, listy'!$B$6,IF(O12="pelet",P12*'[2]Założenia,wskaźniki, listy'!$B$7,IF(O12="olej opałowy",P12*'[2]Założenia,wskaźniki, listy'!$B$8,IF(O12="sieć ciepłownicza",0,0))))))</f>
        <v>0</v>
      </c>
      <c r="Y12" s="172">
        <f>IF(O12="węgiel",X12*'[2]Założenia,wskaźniki, listy'!$C$44,IF(O12="gaz",X12*'[2]Założenia,wskaźniki, listy'!$D$44,IF(O12="drewno",X12*'[2]Założenia,wskaźniki, listy'!$E$44,IF(O12="pelet",X12*'[2]Założenia,wskaźniki, listy'!$F$44,IF(O12="olej opałowy",X12*'[2]Założenia,wskaźniki, listy'!$G$44,IF(O12="sieć ciepłownicza",0,IF(O12="prąd",0,0)))))))</f>
        <v>0</v>
      </c>
      <c r="Z12" s="172">
        <f>IF(O12="węgiel",X12*'[2]Założenia,wskaźniki, listy'!$C$45,IF(O12="gaz",X12*'[2]Założenia,wskaźniki, listy'!$D$45,IF(O12="drewno",X12*'[2]Założenia,wskaźniki, listy'!$E$45,IF(O12="pelet",X12*'[2]Założenia,wskaźniki, listy'!$F$45,IF(O12="olej opałowy",X12*'[2]Założenia,wskaźniki, listy'!$G$45,IF(O12="sieć ciepłownicza",0,IF(O12="prąd",0,0)))))))</f>
        <v>0</v>
      </c>
      <c r="AA12" s="172">
        <f>IF(O12="węgiel",X12*'[2]Założenia,wskaźniki, listy'!$C$46,IF(O12="gaz",X12*'[2]Założenia,wskaźniki, listy'!$D$46,IF(O12="drewno",X12*'[2]Założenia,wskaźniki, listy'!$E$46,IF(O12="pelet",X12*'[2]Założenia,wskaźniki, listy'!$F$46,IF(O12="olej opałowy",X12*'[2]Założenia,wskaźniki, listy'!$G$46,IF(O12="sieć ciepłownicza",0,IF(O12="prąd",0,0)))))))</f>
        <v>0</v>
      </c>
      <c r="AB12" s="172">
        <f>IF(O12="węgiel",X12*'[2]Założenia,wskaźniki, listy'!$C$47,IF(O12="gaz",X12*'[2]Założenia,wskaźniki, listy'!$D$47,IF(O12="drewno",X12*'[2]Założenia,wskaźniki, listy'!$E$47,IF(O12="pelet",X12*'[2]Założenia,wskaźniki, listy'!$F$47,IF(O12="olej opałowy",X12*'[2]Założenia,wskaźniki, listy'!$G$47,IF(O12="sieć ciepłownicza",0,IF(O12="prąd",0,0)))))))</f>
        <v>0</v>
      </c>
      <c r="AC12" s="172">
        <f>IF(O12="węgiel",X12*'[2]Założenia,wskaźniki, listy'!$C$48,IF(O12="gaz",X12*'[2]Założenia,wskaźniki, listy'!$D$48,IF(O12="drewno",X12*'[2]Założenia,wskaźniki, listy'!$E$48,IF(O12="pelet",X12*'[2]Założenia,wskaźniki, listy'!$F$48,IF(O12="olej opałowy",X12*'[2]Założenia,wskaźniki, listy'!$G$48,IF(O12="sieć ciepłownicza",0,IF(O12="prąd",0,0)))))))</f>
        <v>0</v>
      </c>
      <c r="AD12" s="172">
        <f>IF(O12="węgiel",X12*'[2]Założenia,wskaźniki, listy'!$C$49,IF(O12="gaz",X12*'[2]Założenia,wskaźniki, listy'!$D$49,IF(O12="drewno",X12*'[2]Założenia,wskaźniki, listy'!$E$49,IF(O12="pelet",X12*'[2]Założenia,wskaźniki, listy'!$F$49,IF(O12="olej opałowy",X12*'[2]Założenia,wskaźniki, listy'!$G$49,IF(O12="sieć ciepłownicza",0,IF(O12="prąd",0,0)))))))</f>
        <v>0</v>
      </c>
      <c r="AE12" s="172">
        <f>IF(O12="węgiel",X12*'[2]Założenia,wskaźniki, listy'!$C$50,IF(O12="gaz",X12*'[2]Założenia,wskaźniki, listy'!$D$50,IF(O12="drewno",X12*'[2]Założenia,wskaźniki, listy'!$E$50,IF(O12="pelet",X12*'[2]Założenia,wskaźniki, listy'!$F$50,IF(O12="olej opałowy",X12*'[2]Założenia,wskaźniki, listy'!$G$50,IF(O12="sieć ciepłownicza",0,IF(O12="prąd",0,0)))))))</f>
        <v>0</v>
      </c>
      <c r="AF12" s="339">
        <f>IF(O12="węgiel",X12*[2]Z!$C$44,IF(O12="gaz",X12*[2]Z!$D$44,IF(O12="drewno",X12*[2]Z!$E$44,IF(O12="pelet",X12*[2]Z!$F$44,IF(O12="olej opałowy",X12*[2]Z!$G$44,IF(O12="sieć ciepłownicza",0,IF(O12="prąd",0,0)))))))</f>
        <v>0</v>
      </c>
      <c r="AG12" s="339">
        <f>IF(O12="węgiel",X12*[2]Z!$C$45,IF(O12="gaz",X12*[2]Z!$D$45,IF(O12="drewno",X12*[2]Z!$E$45,IF(O12="pelet",X12*[2]Z!$F$45,IF(O12="olej opałowy",X12*[2]Z!$G$45,IF(O12="sieć ciepłownicza",0,IF(O12="prąd",0,0)))))))</f>
        <v>0</v>
      </c>
      <c r="AH12" s="339">
        <f>IF(O12="węgiel",X12*[2]Z!$C$46,IF(O12="gaz",X12*[2]Z!$D$46,IF(O12="drewno",X12*[2]Z!$E$46,IF(O12="pelet",X12*[2]Z!$F$46,IF(O12="olej opałowy",X12*[2]Z!$G$46,IF(O12="sieć ciepłownicza",0,IF(O12="prąd",0,0)))))))</f>
        <v>0</v>
      </c>
      <c r="AI12" s="339">
        <f>IF(O12="węgiel",X12*[2]Z!$C$47,IF(O12="gaz",X12*[2]Z!$D$47,IF(O12="drewno",X12*[2]Z!$E$47,IF(O12="pelet",X12*[2]Z!$F$47,IF(O12="olej opałowy",X12*[2]Z!$G$47,IF(O12="sieć ciepłownicza",0,IF(O12="prąd",0,0)))))))</f>
        <v>0</v>
      </c>
      <c r="AJ12" s="339">
        <f>IF(O12="węgiel",X12*[2]Z!$C$48,IF(O12="gaz",X12*[2]Z!$D$48,IF(O12="drewno",X12*[2]Z!$E$48,IF(O12="pelet",X12*[2]Z!$F$48,IF(O12="olej opałowy",X12*[2]Z!$G$48,IF(O12="sieć ciepłownicza",0,IF(O12="prąd",0,0)))))))</f>
        <v>0</v>
      </c>
      <c r="AK12" s="339">
        <f>IF(O12="węgiel",X12*[2]Z!$C$49,IF(O12="gaz",X12*[2]Z!$D$49,IF(O12="drewno",X12*[2]Z!$E$49,IF(O12="pelet",X12*[2]Z!$F$49,IF(O12="olej opałowy",X12*[2]Z!$G$49,IF(O12="sieć ciepłownicza",0,IF(O12="prąd",0,0)))))))</f>
        <v>0</v>
      </c>
      <c r="AL12" s="339">
        <f>IF(O12="węgiel",X12*[2]Z!$C$50,IF(O12="gaz",X12*[2]Z!$D$50,IF(O12="drewno",X12*[2]Z!$E$50,IF(O12="pelet",X12*[2]Z!$F$50,IF(O12="olej opałowy",X12*[2]Z!$G$50,IF(O12="sieć ciepłownicza",0,IF(O12="prąd",0,0)))))))</f>
        <v>0</v>
      </c>
      <c r="AM12" s="172">
        <f>IF(T12="węgiel",W12*'[2]Założenia,wskaźniki, listy'!$C$44,IF(T12="gaz",W12*'[2]Założenia,wskaźniki, listy'!$D$44,IF(T12="drewno",W12*'[2]Założenia,wskaźniki, listy'!$E$44,IF(T12="pelet",W12*'[2]Założenia,wskaźniki, listy'!$F$44,IF(T12="olej opałowy",W12*'[2]Założenia,wskaźniki, listy'!$G$44,IF(T12="sieć ciepłownicza",0,IF(T12="prąd",0,0)))))))</f>
        <v>0</v>
      </c>
      <c r="AN12" s="172">
        <f>IF(U12="węgiel",X12*'[2]Założenia,wskaźniki, listy'!$C$45,IF(U12="gaz",X12*'[2]Założenia,wskaźniki, listy'!$D$45,IF(U12="drewno",X12*'[2]Założenia,wskaźniki, listy'!$E$45,IF(U12="pelet",X12*'[2]Założenia,wskaźniki, listy'!$F$45,IF(U12="olej opałowy",X12*'[2]Założenia,wskaźniki, listy'!$G$45,IF(U12="sieć ciepłownicza",0,IF(U12="prąd",0,0)))))))</f>
        <v>0</v>
      </c>
      <c r="AO12" s="172">
        <f>IF(U12="węgiel",X12*'[2]Założenia,wskaźniki, listy'!$C$46,IF(U12="gaz",X12*'[2]Założenia,wskaźniki, listy'!$D$46,IF(U12="drewno",X12*'[2]Założenia,wskaźniki, listy'!$E$46,IF(U12="pelet",X12*'[2]Założenia,wskaźniki, listy'!$F$46,IF(U12="olej opałowy",X12*'[2]Założenia,wskaźniki, listy'!$G$46,IF(U12="sieć ciepłownicza",0,IF(U12="prąd",0,0)))))))</f>
        <v>0</v>
      </c>
      <c r="AP12" s="172">
        <f>IF(U12="węgiel",X12*'[2]Założenia,wskaźniki, listy'!$C$47,IF(U12="gaz",X12*'[2]Założenia,wskaźniki, listy'!$D$47,IF(U12="drewno",X12*'[2]Założenia,wskaźniki, listy'!$E$47,IF(U12="pelet",X12*'[2]Założenia,wskaźniki, listy'!$F$47,IF(U12="olej opałowy",X12*'[2]Założenia,wskaźniki, listy'!$G$47,IF(U12="sieć ciepłownicza",0,IF(U12="prąd",0,0)))))))</f>
        <v>0</v>
      </c>
      <c r="AQ12" s="172">
        <f>IF(U12="węgiel",X12*'[2]Założenia,wskaźniki, listy'!$C$48,IF(U12="gaz",X12*'[2]Założenia,wskaźniki, listy'!$D$48,IF(U12="drewno",X12*'[2]Założenia,wskaźniki, listy'!$E$48,IF(U12="pelet",X12*'[2]Założenia,wskaźniki, listy'!$F$48,IF(U12="olej opałowy",X12*'[2]Założenia,wskaźniki, listy'!$G$48,IF(U12="sieć ciepłownicza",0,IF(U12="prąd",0,0)))))))</f>
        <v>0</v>
      </c>
      <c r="AR12" s="172">
        <f>IF(U12="węgiel",X12*'[2]Założenia,wskaźniki, listy'!$C$49,IF(U12="gaz",X12*'[2]Założenia,wskaźniki, listy'!$D$49,IF(U12="drewno",X12*'[2]Założenia,wskaźniki, listy'!$E$49,IF(U12="pelet",X12*'[2]Założenia,wskaźniki, listy'!$F$49,IF(U12="olej opałowy",X12*'[2]Założenia,wskaźniki, listy'!$G$49,IF(U12="sieć ciepłownicza",0,IF(U12="prąd",0,0)))))))</f>
        <v>0</v>
      </c>
      <c r="AS12" s="172">
        <f>IF(U12="węgiel",X12*'[2]Założenia,wskaźniki, listy'!$C$50,IF(U12="gaz",X12*'[2]Założenia,wskaźniki, listy'!$D$50,IF(U12="drewno",X12*'[2]Założenia,wskaźniki, listy'!$E$50,IF(U12="pelet",X12*'[2]Założenia,wskaźniki, listy'!$F$50,IF(U12="olej opałowy",X12*'[2]Założenia,wskaźniki, listy'!$G$50,IF(U12="sieć ciepłownicza",0,IF(U12="prąd",0,0)))))))</f>
        <v>0</v>
      </c>
      <c r="AT12" s="172">
        <f t="shared" si="3"/>
        <v>0</v>
      </c>
      <c r="AU12" s="172"/>
      <c r="AV12" s="340" t="e">
        <f t="shared" si="26"/>
        <v>#REF!</v>
      </c>
      <c r="AW12" s="340" t="e">
        <f t="shared" si="27"/>
        <v>#REF!</v>
      </c>
      <c r="AX12" s="340" t="e">
        <f t="shared" si="28"/>
        <v>#REF!</v>
      </c>
      <c r="AY12" s="340" t="e">
        <f t="shared" si="29"/>
        <v>#REF!</v>
      </c>
      <c r="AZ12" s="340" t="e">
        <f t="shared" si="30"/>
        <v>#REF!</v>
      </c>
      <c r="BA12" s="340" t="e">
        <f t="shared" si="31"/>
        <v>#REF!</v>
      </c>
      <c r="BB12" s="340" t="e">
        <f t="shared" si="32"/>
        <v>#REF!</v>
      </c>
      <c r="BC12" s="71"/>
      <c r="BD12" s="183"/>
      <c r="BE12" s="349"/>
      <c r="BF12" s="183"/>
      <c r="BG12" s="183"/>
      <c r="BH12" s="183"/>
      <c r="BI12" s="183"/>
      <c r="BJ12" s="183"/>
      <c r="BK12" s="249"/>
      <c r="BN12" s="245">
        <f t="shared" si="4"/>
        <v>0</v>
      </c>
      <c r="BO12" s="87" t="b">
        <f t="shared" si="5"/>
        <v>0</v>
      </c>
      <c r="BP12" s="87" t="b">
        <f t="shared" si="6"/>
        <v>0</v>
      </c>
      <c r="BQ12" s="87" t="b">
        <f t="shared" si="7"/>
        <v>0</v>
      </c>
      <c r="BR12" s="87" t="b">
        <f t="shared" si="8"/>
        <v>0</v>
      </c>
      <c r="BS12" s="87" t="b">
        <f t="shared" si="9"/>
        <v>0</v>
      </c>
      <c r="BT12" s="87" t="b">
        <f t="shared" si="10"/>
        <v>0</v>
      </c>
      <c r="BU12" s="87" t="b">
        <f t="shared" si="11"/>
        <v>0</v>
      </c>
      <c r="BV12" s="87" t="b">
        <f t="shared" si="12"/>
        <v>0</v>
      </c>
      <c r="BW12" s="246" t="b">
        <f t="shared" si="13"/>
        <v>0</v>
      </c>
      <c r="BX12" s="87" t="b">
        <f t="shared" si="14"/>
        <v>0</v>
      </c>
      <c r="BY12" s="87" t="b">
        <f t="shared" si="15"/>
        <v>0</v>
      </c>
      <c r="BZ12" s="87" t="b">
        <f t="shared" si="16"/>
        <v>0</v>
      </c>
      <c r="CA12" s="87" t="b">
        <f t="shared" si="17"/>
        <v>0</v>
      </c>
      <c r="CB12" s="87" t="b">
        <f t="shared" si="18"/>
        <v>0</v>
      </c>
      <c r="CC12" s="87" t="b">
        <f t="shared" si="19"/>
        <v>0</v>
      </c>
      <c r="CD12" s="245" t="b">
        <f t="shared" si="20"/>
        <v>0</v>
      </c>
      <c r="CE12" s="87" t="b">
        <f t="shared" si="21"/>
        <v>0</v>
      </c>
      <c r="CF12" s="87" t="b">
        <f t="shared" si="22"/>
        <v>0</v>
      </c>
      <c r="CG12" s="87" t="b">
        <f t="shared" si="23"/>
        <v>0</v>
      </c>
      <c r="CH12" s="87" t="b">
        <f t="shared" si="24"/>
        <v>0</v>
      </c>
      <c r="CI12" s="246" t="b">
        <f t="shared" si="25"/>
        <v>0</v>
      </c>
    </row>
    <row r="13" spans="1:89" s="236" customFormat="1" ht="8.25">
      <c r="D13" s="250"/>
      <c r="E13" s="251"/>
      <c r="G13" s="236" t="e">
        <f t="shared" ref="G13" si="34">SUM(#REF!)</f>
        <v>#REF!</v>
      </c>
      <c r="H13" s="236" t="e">
        <f t="shared" ref="H13" si="35">SUM(#REF!)</f>
        <v>#REF!</v>
      </c>
      <c r="I13" s="236" t="e">
        <f t="shared" ref="I13" si="36">SUM(#REF!)</f>
        <v>#REF!</v>
      </c>
      <c r="J13" s="236" t="e">
        <f t="shared" ref="J13" si="37">SUM(#REF!)</f>
        <v>#REF!</v>
      </c>
      <c r="K13" s="236" t="e">
        <f t="shared" ref="K13" si="38">SUM(#REF!)</f>
        <v>#REF!</v>
      </c>
      <c r="L13" s="236" t="e">
        <f t="shared" ref="L13" si="39">SUM(#REF!)</f>
        <v>#REF!</v>
      </c>
      <c r="Q13" s="252"/>
      <c r="R13" s="252"/>
      <c r="S13" s="252"/>
      <c r="U13" s="253" t="e">
        <f t="shared" ref="U13:AE13" si="40">SUM(#REF!)</f>
        <v>#REF!</v>
      </c>
      <c r="V13" s="253" t="e">
        <f t="shared" si="40"/>
        <v>#REF!</v>
      </c>
      <c r="W13" s="253" t="e">
        <f t="shared" si="40"/>
        <v>#REF!</v>
      </c>
      <c r="X13" s="253" t="e">
        <f t="shared" si="40"/>
        <v>#REF!</v>
      </c>
      <c r="Y13" s="253" t="e">
        <f t="shared" si="40"/>
        <v>#REF!</v>
      </c>
      <c r="Z13" s="253" t="e">
        <f t="shared" si="40"/>
        <v>#REF!</v>
      </c>
      <c r="AA13" s="253" t="e">
        <f t="shared" si="40"/>
        <v>#REF!</v>
      </c>
      <c r="AB13" s="253" t="e">
        <f t="shared" si="40"/>
        <v>#REF!</v>
      </c>
      <c r="AC13" s="253" t="e">
        <f t="shared" si="40"/>
        <v>#REF!</v>
      </c>
      <c r="AD13" s="253" t="e">
        <f t="shared" si="40"/>
        <v>#REF!</v>
      </c>
      <c r="AE13" s="253" t="e">
        <f t="shared" si="40"/>
        <v>#REF!</v>
      </c>
      <c r="AF13" s="253"/>
      <c r="AG13" s="253"/>
      <c r="AH13" s="253"/>
      <c r="AI13" s="253"/>
      <c r="AJ13" s="253"/>
      <c r="AK13" s="253"/>
      <c r="AL13" s="253"/>
      <c r="AM13" s="253" t="e">
        <f t="shared" ref="AM13:AT13" si="41">SUM(#REF!)</f>
        <v>#REF!</v>
      </c>
      <c r="AN13" s="253" t="e">
        <f t="shared" si="41"/>
        <v>#REF!</v>
      </c>
      <c r="AO13" s="253" t="e">
        <f t="shared" si="41"/>
        <v>#REF!</v>
      </c>
      <c r="AP13" s="253" t="e">
        <f t="shared" si="41"/>
        <v>#REF!</v>
      </c>
      <c r="AQ13" s="253" t="e">
        <f t="shared" si="41"/>
        <v>#REF!</v>
      </c>
      <c r="AR13" s="253" t="e">
        <f t="shared" si="41"/>
        <v>#REF!</v>
      </c>
      <c r="AS13" s="253" t="e">
        <f t="shared" si="41"/>
        <v>#REF!</v>
      </c>
      <c r="AT13" s="253" t="e">
        <f t="shared" si="41"/>
        <v>#REF!</v>
      </c>
      <c r="AU13" s="253" t="e">
        <f>SUM(#REF!)</f>
        <v>#REF!</v>
      </c>
      <c r="AV13" s="253" t="e">
        <f t="shared" ref="AV13:BB13" si="42">SUM(#REF!)</f>
        <v>#REF!</v>
      </c>
      <c r="AW13" s="253" t="e">
        <f t="shared" si="42"/>
        <v>#REF!</v>
      </c>
      <c r="AX13" s="253" t="e">
        <f t="shared" si="42"/>
        <v>#REF!</v>
      </c>
      <c r="AY13" s="253" t="e">
        <f t="shared" si="42"/>
        <v>#REF!</v>
      </c>
      <c r="AZ13" s="253" t="e">
        <f t="shared" si="42"/>
        <v>#REF!</v>
      </c>
      <c r="BA13" s="253" t="e">
        <f t="shared" si="42"/>
        <v>#REF!</v>
      </c>
      <c r="BB13" s="253" t="e">
        <f t="shared" si="42"/>
        <v>#REF!</v>
      </c>
      <c r="BE13" s="236" t="e">
        <f>SUM(#REF!)</f>
        <v>#REF!</v>
      </c>
      <c r="BF13" s="252"/>
      <c r="BN13" s="82" t="e">
        <f t="shared" ref="BN13:CH13" si="43">SUM(#REF!)</f>
        <v>#REF!</v>
      </c>
      <c r="BO13" s="82" t="e">
        <f t="shared" si="43"/>
        <v>#REF!</v>
      </c>
      <c r="BP13" s="82" t="e">
        <f t="shared" si="43"/>
        <v>#REF!</v>
      </c>
      <c r="BQ13" s="82" t="e">
        <f t="shared" si="43"/>
        <v>#REF!</v>
      </c>
      <c r="BR13" s="82" t="e">
        <f t="shared" si="43"/>
        <v>#REF!</v>
      </c>
      <c r="BS13" s="82" t="e">
        <f t="shared" si="43"/>
        <v>#REF!</v>
      </c>
      <c r="BT13" s="82" t="e">
        <f t="shared" si="43"/>
        <v>#REF!</v>
      </c>
      <c r="BU13" s="82" t="e">
        <f t="shared" si="43"/>
        <v>#REF!</v>
      </c>
      <c r="BV13" s="82" t="e">
        <f t="shared" si="43"/>
        <v>#REF!</v>
      </c>
      <c r="BW13" s="82" t="e">
        <f t="shared" si="43"/>
        <v>#REF!</v>
      </c>
      <c r="BX13" s="82" t="e">
        <f t="shared" si="43"/>
        <v>#REF!</v>
      </c>
      <c r="BY13" s="82" t="e">
        <f t="shared" si="43"/>
        <v>#REF!</v>
      </c>
      <c r="BZ13" s="82" t="e">
        <f t="shared" si="43"/>
        <v>#REF!</v>
      </c>
      <c r="CA13" s="82" t="e">
        <f t="shared" si="43"/>
        <v>#REF!</v>
      </c>
      <c r="CB13" s="82" t="e">
        <f t="shared" si="43"/>
        <v>#REF!</v>
      </c>
      <c r="CC13" s="82" t="e">
        <f t="shared" si="43"/>
        <v>#REF!</v>
      </c>
      <c r="CD13" s="82" t="e">
        <f t="shared" si="43"/>
        <v>#REF!</v>
      </c>
      <c r="CE13" s="82" t="e">
        <f t="shared" si="43"/>
        <v>#REF!</v>
      </c>
      <c r="CF13" s="82" t="e">
        <f t="shared" si="43"/>
        <v>#REF!</v>
      </c>
      <c r="CG13" s="82" t="e">
        <f t="shared" si="43"/>
        <v>#REF!</v>
      </c>
      <c r="CH13" s="82" t="e">
        <f t="shared" si="43"/>
        <v>#REF!</v>
      </c>
      <c r="CI13" s="82"/>
    </row>
    <row r="14" spans="1:89" s="64" customFormat="1" ht="8.25">
      <c r="A14" s="749" t="s">
        <v>270</v>
      </c>
      <c r="B14" s="749"/>
      <c r="C14" s="749"/>
      <c r="D14" s="749"/>
      <c r="E14" s="749"/>
      <c r="F14" s="749"/>
      <c r="G14" s="749"/>
      <c r="H14" s="749"/>
      <c r="I14" s="749"/>
      <c r="J14" s="749"/>
      <c r="K14" s="749"/>
      <c r="L14" s="749"/>
      <c r="M14" s="749"/>
      <c r="N14" s="749"/>
      <c r="O14" s="749"/>
      <c r="P14" s="749"/>
      <c r="Q14" s="749"/>
      <c r="R14" s="749"/>
      <c r="S14" s="749"/>
      <c r="T14" s="62">
        <f t="shared" ref="T14" si="44">SUM(T10:T13)</f>
        <v>0</v>
      </c>
      <c r="U14" s="62">
        <f t="shared" ref="U14:BB14" si="45">U5+U6</f>
        <v>0</v>
      </c>
      <c r="V14" s="62">
        <f t="shared" si="45"/>
        <v>0</v>
      </c>
      <c r="W14" s="62">
        <f t="shared" si="45"/>
        <v>0</v>
      </c>
      <c r="X14" s="62">
        <f t="shared" si="45"/>
        <v>0</v>
      </c>
      <c r="Y14" s="62">
        <f t="shared" si="45"/>
        <v>0</v>
      </c>
      <c r="Z14" s="62">
        <f t="shared" si="45"/>
        <v>0</v>
      </c>
      <c r="AA14" s="62">
        <f t="shared" si="45"/>
        <v>0</v>
      </c>
      <c r="AB14" s="62">
        <f t="shared" si="45"/>
        <v>0</v>
      </c>
      <c r="AC14" s="62">
        <f t="shared" si="45"/>
        <v>0</v>
      </c>
      <c r="AD14" s="62">
        <f t="shared" si="45"/>
        <v>0</v>
      </c>
      <c r="AE14" s="62">
        <f t="shared" si="45"/>
        <v>0</v>
      </c>
      <c r="AF14" s="62">
        <f t="shared" si="45"/>
        <v>0</v>
      </c>
      <c r="AG14" s="62">
        <f t="shared" si="45"/>
        <v>0</v>
      </c>
      <c r="AH14" s="62">
        <f t="shared" si="45"/>
        <v>0</v>
      </c>
      <c r="AI14" s="62">
        <f t="shared" si="45"/>
        <v>0</v>
      </c>
      <c r="AJ14" s="62">
        <f t="shared" si="45"/>
        <v>0</v>
      </c>
      <c r="AK14" s="62">
        <f t="shared" si="45"/>
        <v>0</v>
      </c>
      <c r="AL14" s="62">
        <f t="shared" si="45"/>
        <v>0</v>
      </c>
      <c r="AM14" s="62">
        <f t="shared" si="45"/>
        <v>0</v>
      </c>
      <c r="AN14" s="62">
        <f t="shared" si="45"/>
        <v>0</v>
      </c>
      <c r="AO14" s="62">
        <f t="shared" si="45"/>
        <v>0</v>
      </c>
      <c r="AP14" s="62">
        <f t="shared" si="45"/>
        <v>0</v>
      </c>
      <c r="AQ14" s="62">
        <f t="shared" si="45"/>
        <v>0</v>
      </c>
      <c r="AR14" s="62">
        <f t="shared" si="45"/>
        <v>0</v>
      </c>
      <c r="AS14" s="62">
        <f t="shared" si="45"/>
        <v>0</v>
      </c>
      <c r="AT14" s="62">
        <f t="shared" si="45"/>
        <v>0</v>
      </c>
      <c r="AU14" s="62">
        <f t="shared" si="45"/>
        <v>0</v>
      </c>
      <c r="AV14" s="62">
        <f t="shared" si="45"/>
        <v>0</v>
      </c>
      <c r="AW14" s="62">
        <f t="shared" si="45"/>
        <v>0</v>
      </c>
      <c r="AX14" s="62">
        <f t="shared" si="45"/>
        <v>0</v>
      </c>
      <c r="AY14" s="62">
        <f t="shared" si="45"/>
        <v>0</v>
      </c>
      <c r="AZ14" s="62">
        <f t="shared" si="45"/>
        <v>0</v>
      </c>
      <c r="BA14" s="62">
        <f t="shared" si="45"/>
        <v>0</v>
      </c>
      <c r="BB14" s="62">
        <f t="shared" si="45"/>
        <v>0</v>
      </c>
      <c r="BC14" s="69"/>
      <c r="BD14" s="69"/>
      <c r="BF14" s="221">
        <f t="shared" ref="BF14:CJ14" si="46">SUM(BF10:BF13)</f>
        <v>0</v>
      </c>
      <c r="BG14" s="221">
        <f t="shared" si="46"/>
        <v>0</v>
      </c>
      <c r="BH14" s="221">
        <f t="shared" si="46"/>
        <v>0</v>
      </c>
      <c r="BI14" s="221">
        <f t="shared" si="46"/>
        <v>0</v>
      </c>
      <c r="BJ14" s="221">
        <f t="shared" si="46"/>
        <v>0</v>
      </c>
      <c r="BK14" s="221">
        <f t="shared" si="46"/>
        <v>0</v>
      </c>
      <c r="BL14" s="221">
        <f t="shared" si="46"/>
        <v>0</v>
      </c>
      <c r="BM14" s="221">
        <f t="shared" si="46"/>
        <v>0</v>
      </c>
      <c r="BN14" s="221" t="e">
        <f t="shared" si="46"/>
        <v>#REF!</v>
      </c>
      <c r="BO14" s="221" t="e">
        <f t="shared" si="46"/>
        <v>#REF!</v>
      </c>
      <c r="BP14" s="221" t="e">
        <f t="shared" si="46"/>
        <v>#REF!</v>
      </c>
      <c r="BQ14" s="221" t="e">
        <f t="shared" si="46"/>
        <v>#REF!</v>
      </c>
      <c r="BR14" s="221" t="e">
        <f t="shared" si="46"/>
        <v>#REF!</v>
      </c>
      <c r="BS14" s="221" t="e">
        <f t="shared" si="46"/>
        <v>#REF!</v>
      </c>
      <c r="BT14" s="221" t="e">
        <f t="shared" si="46"/>
        <v>#REF!</v>
      </c>
      <c r="BU14" s="221" t="e">
        <f t="shared" si="46"/>
        <v>#REF!</v>
      </c>
      <c r="BV14" s="221" t="e">
        <f t="shared" si="46"/>
        <v>#REF!</v>
      </c>
      <c r="BW14" s="221" t="e">
        <f t="shared" si="46"/>
        <v>#REF!</v>
      </c>
      <c r="BX14" s="221" t="e">
        <f t="shared" si="46"/>
        <v>#REF!</v>
      </c>
      <c r="BY14" s="221" t="e">
        <f t="shared" si="46"/>
        <v>#REF!</v>
      </c>
      <c r="BZ14" s="221" t="e">
        <f t="shared" si="46"/>
        <v>#REF!</v>
      </c>
      <c r="CA14" s="221" t="e">
        <f t="shared" si="46"/>
        <v>#REF!</v>
      </c>
      <c r="CB14" s="221" t="e">
        <f t="shared" si="46"/>
        <v>#REF!</v>
      </c>
      <c r="CC14" s="221" t="e">
        <f t="shared" si="46"/>
        <v>#REF!</v>
      </c>
      <c r="CD14" s="221" t="e">
        <f t="shared" si="46"/>
        <v>#REF!</v>
      </c>
      <c r="CE14" s="221" t="e">
        <f t="shared" si="46"/>
        <v>#REF!</v>
      </c>
      <c r="CF14" s="221" t="e">
        <f t="shared" si="46"/>
        <v>#REF!</v>
      </c>
      <c r="CG14" s="221" t="e">
        <f t="shared" si="46"/>
        <v>#REF!</v>
      </c>
      <c r="CH14" s="221" t="e">
        <f t="shared" si="46"/>
        <v>#REF!</v>
      </c>
      <c r="CI14" s="221">
        <f t="shared" si="46"/>
        <v>0</v>
      </c>
      <c r="CJ14" s="221">
        <f t="shared" si="46"/>
        <v>0</v>
      </c>
      <c r="CK14" s="222" t="e">
        <f>SUM(CD14:CJ14)</f>
        <v>#REF!</v>
      </c>
    </row>
    <row r="16" spans="1:89">
      <c r="AV16" s="356"/>
    </row>
  </sheetData>
  <mergeCells count="45">
    <mergeCell ref="A1:BD1"/>
    <mergeCell ref="A2:A3"/>
    <mergeCell ref="B2:C3"/>
    <mergeCell ref="D2:D3"/>
    <mergeCell ref="E2:E3"/>
    <mergeCell ref="F2:F3"/>
    <mergeCell ref="G2:G3"/>
    <mergeCell ref="H2:H3"/>
    <mergeCell ref="I2:I3"/>
    <mergeCell ref="J2:J3"/>
    <mergeCell ref="X2:X3"/>
    <mergeCell ref="K2:L3"/>
    <mergeCell ref="M2:M3"/>
    <mergeCell ref="N2:N3"/>
    <mergeCell ref="O2:O3"/>
    <mergeCell ref="P2:P3"/>
    <mergeCell ref="BI2:BI3"/>
    <mergeCell ref="BJ2:BJ3"/>
    <mergeCell ref="BK2:BK3"/>
    <mergeCell ref="K4:L4"/>
    <mergeCell ref="BC2:BC3"/>
    <mergeCell ref="BD2:BD3"/>
    <mergeCell ref="BE2:BE3"/>
    <mergeCell ref="BF2:BF3"/>
    <mergeCell ref="BG2:BG3"/>
    <mergeCell ref="BH2:BH3"/>
    <mergeCell ref="Y2:AE2"/>
    <mergeCell ref="AG2:AL2"/>
    <mergeCell ref="AM2:AS2"/>
    <mergeCell ref="AT2:AT3"/>
    <mergeCell ref="AU2:AU3"/>
    <mergeCell ref="Q2:Q3"/>
    <mergeCell ref="AV2:BB2"/>
    <mergeCell ref="A10:A11"/>
    <mergeCell ref="D10:D11"/>
    <mergeCell ref="E10:E11"/>
    <mergeCell ref="A14:S14"/>
    <mergeCell ref="D5:D6"/>
    <mergeCell ref="E5:E6"/>
    <mergeCell ref="A5:A6"/>
    <mergeCell ref="W2:W3"/>
    <mergeCell ref="S2:S3"/>
    <mergeCell ref="T2:T3"/>
    <mergeCell ref="U2:U3"/>
    <mergeCell ref="V2:V3"/>
  </mergeCells>
  <dataValidations count="1">
    <dataValidation type="list" allowBlank="1" showInputMessage="1" showErrorMessage="1" sqref="O5:O12">
      <formula1>#REF!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100-000000000000}">
          <x14:formula1>
            <xm:f>'[2]Założenia,wskaźniki, listy'!#REF!</xm:f>
          </x14:formula1>
          <xm:sqref>BI5:BI12 BF5:BG12 H5:J12 BC5:BD12 N5:N12 T5:T12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32D214"/>
  </sheetPr>
  <dimension ref="A1:AB77"/>
  <sheetViews>
    <sheetView view="pageBreakPreview" zoomScaleNormal="110" zoomScaleSheetLayoutView="100" workbookViewId="0">
      <pane ySplit="4" topLeftCell="A17" activePane="bottomLeft" state="frozen"/>
      <selection pane="bottomLeft" activeCell="C5" sqref="C5:G5"/>
    </sheetView>
  </sheetViews>
  <sheetFormatPr defaultColWidth="9" defaultRowHeight="8.25"/>
  <cols>
    <col min="1" max="1" width="37.75" style="96" customWidth="1"/>
    <col min="2" max="2" width="4.125" style="96" customWidth="1"/>
    <col min="3" max="3" width="9.125" style="96" customWidth="1"/>
    <col min="4" max="4" width="6.25" style="96" customWidth="1"/>
    <col min="5" max="5" width="8.25" style="96" bestFit="1" customWidth="1"/>
    <col min="6" max="6" width="7.25" style="96" customWidth="1"/>
    <col min="7" max="7" width="6.5" style="96" customWidth="1"/>
    <col min="8" max="8" width="7.75" style="96" customWidth="1"/>
    <col min="9" max="9" width="10.5" style="96" hidden="1" customWidth="1"/>
    <col min="10" max="10" width="3.25" style="96" customWidth="1"/>
    <col min="11" max="11" width="9.875" style="96" customWidth="1"/>
    <col min="12" max="12" width="10.5" style="96" bestFit="1" customWidth="1"/>
    <col min="13" max="13" width="9.375" style="96" customWidth="1"/>
    <col min="14" max="14" width="9.25" style="96" bestFit="1" customWidth="1"/>
    <col min="15" max="15" width="5.875" style="96" bestFit="1" customWidth="1"/>
    <col min="16" max="16" width="5.625" style="96" customWidth="1"/>
    <col min="17" max="17" width="7.375" style="96" bestFit="1" customWidth="1"/>
    <col min="18" max="18" width="8.25" style="96" bestFit="1" customWidth="1"/>
    <col min="19" max="19" width="6" style="96" bestFit="1" customWidth="1"/>
    <col min="20" max="20" width="11.125" style="96" bestFit="1" customWidth="1"/>
    <col min="21" max="21" width="10" style="96" bestFit="1" customWidth="1"/>
    <col min="22" max="22" width="10.25" style="96" customWidth="1"/>
    <col min="23" max="23" width="14.375" style="96" customWidth="1"/>
    <col min="24" max="16384" width="9" style="96"/>
  </cols>
  <sheetData>
    <row r="1" spans="1:28" ht="15.75">
      <c r="A1" s="464" t="s">
        <v>470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</row>
    <row r="2" spans="1:28" ht="13.5" thickBot="1">
      <c r="A2" s="466" t="s">
        <v>400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</row>
    <row r="3" spans="1:28" ht="46.5" customHeight="1">
      <c r="A3" s="463" t="s">
        <v>218</v>
      </c>
      <c r="B3" s="403" t="s">
        <v>401</v>
      </c>
      <c r="C3" s="403" t="s">
        <v>212</v>
      </c>
      <c r="D3" s="403" t="s">
        <v>211</v>
      </c>
      <c r="E3" s="403" t="s">
        <v>210</v>
      </c>
      <c r="F3" s="403" t="s">
        <v>209</v>
      </c>
      <c r="G3" s="403" t="s">
        <v>208</v>
      </c>
      <c r="H3" s="403" t="s">
        <v>207</v>
      </c>
      <c r="K3" s="834" t="s">
        <v>214</v>
      </c>
      <c r="L3" s="836" t="s">
        <v>215</v>
      </c>
      <c r="M3" s="838" t="s">
        <v>402</v>
      </c>
      <c r="N3" s="839"/>
      <c r="O3" s="839"/>
      <c r="P3" s="839"/>
      <c r="Q3" s="839"/>
      <c r="R3" s="839"/>
      <c r="S3" s="840"/>
    </row>
    <row r="4" spans="1:28" ht="15.75" customHeight="1">
      <c r="A4" s="118" t="s">
        <v>433</v>
      </c>
      <c r="B4" s="119"/>
      <c r="C4" s="120"/>
      <c r="D4" s="120"/>
      <c r="E4" s="120"/>
      <c r="F4" s="120"/>
      <c r="G4" s="120"/>
      <c r="H4" s="124">
        <f>SUM(H5:I8)</f>
        <v>0</v>
      </c>
      <c r="K4" s="835"/>
      <c r="L4" s="837"/>
      <c r="M4" s="97" t="s">
        <v>72</v>
      </c>
      <c r="N4" s="97" t="s">
        <v>100</v>
      </c>
      <c r="O4" s="97" t="s">
        <v>198</v>
      </c>
      <c r="P4" s="97" t="s">
        <v>139</v>
      </c>
      <c r="Q4" s="97" t="s">
        <v>67</v>
      </c>
      <c r="R4" s="97" t="s">
        <v>66</v>
      </c>
      <c r="S4" s="98" t="s">
        <v>188</v>
      </c>
    </row>
    <row r="5" spans="1:28" ht="11.25">
      <c r="A5" s="123" t="s">
        <v>462</v>
      </c>
      <c r="B5" s="123">
        <v>6</v>
      </c>
      <c r="C5" s="123"/>
      <c r="D5" s="123"/>
      <c r="E5" s="123"/>
      <c r="F5" s="123"/>
      <c r="G5" s="123"/>
      <c r="H5" s="124">
        <f>SUM(C5:G5)</f>
        <v>0</v>
      </c>
      <c r="K5" s="841" t="s">
        <v>187</v>
      </c>
      <c r="L5" s="101" t="s">
        <v>184</v>
      </c>
      <c r="M5" s="101">
        <v>84.7</v>
      </c>
      <c r="N5" s="100">
        <v>3.18</v>
      </c>
      <c r="O5" s="100">
        <v>0.04</v>
      </c>
      <c r="P5" s="101">
        <v>8.73</v>
      </c>
      <c r="Q5" s="100">
        <f>0.03/2</f>
        <v>1.4999999999999999E-2</v>
      </c>
      <c r="R5" s="100">
        <f t="shared" ref="R5:R12" si="0">+Q5</f>
        <v>1.4999999999999999E-2</v>
      </c>
      <c r="S5" s="102">
        <v>5.4999999999999999E-6</v>
      </c>
    </row>
    <row r="6" spans="1:28" ht="11.25">
      <c r="A6" s="528"/>
      <c r="B6" s="123"/>
      <c r="C6" s="123"/>
      <c r="D6" s="123"/>
      <c r="E6" s="123"/>
      <c r="F6" s="123"/>
      <c r="G6" s="123"/>
      <c r="H6" s="124">
        <f t="shared" ref="H6:H9" si="1">SUM(C6:G6)</f>
        <v>0</v>
      </c>
      <c r="K6" s="842"/>
      <c r="L6" s="101" t="s">
        <v>183</v>
      </c>
      <c r="M6" s="101">
        <v>3.33</v>
      </c>
      <c r="N6" s="100">
        <v>3.14</v>
      </c>
      <c r="O6" s="100">
        <v>8.0000000000000002E-3</v>
      </c>
      <c r="P6" s="101">
        <v>12.96</v>
      </c>
      <c r="Q6" s="100">
        <f>1.1/5</f>
        <v>0.22000000000000003</v>
      </c>
      <c r="R6" s="100">
        <f t="shared" si="0"/>
        <v>0.22000000000000003</v>
      </c>
      <c r="S6" s="102">
        <v>2.1399999999999998E-5</v>
      </c>
    </row>
    <row r="7" spans="1:28" ht="11.25">
      <c r="A7" s="528"/>
      <c r="B7" s="123"/>
      <c r="C7" s="123"/>
      <c r="D7" s="123"/>
      <c r="E7" s="123"/>
      <c r="F7" s="123"/>
      <c r="G7" s="123"/>
      <c r="H7" s="124">
        <f t="shared" si="1"/>
        <v>0</v>
      </c>
      <c r="K7" s="843"/>
      <c r="L7" s="101" t="s">
        <v>186</v>
      </c>
      <c r="M7" s="101">
        <v>84.7</v>
      </c>
      <c r="N7" s="100">
        <v>3.0169999999999999</v>
      </c>
      <c r="O7" s="100"/>
      <c r="P7" s="101">
        <v>15.2</v>
      </c>
      <c r="Q7" s="100">
        <v>0</v>
      </c>
      <c r="R7" s="100">
        <f t="shared" si="0"/>
        <v>0</v>
      </c>
      <c r="S7" s="102">
        <v>1.9999999999999999E-7</v>
      </c>
    </row>
    <row r="8" spans="1:28" ht="11.25">
      <c r="A8" s="121"/>
      <c r="B8" s="440"/>
      <c r="C8" s="123"/>
      <c r="D8" s="123"/>
      <c r="E8" s="123"/>
      <c r="F8" s="123"/>
      <c r="G8" s="123"/>
      <c r="H8" s="124">
        <f t="shared" si="1"/>
        <v>0</v>
      </c>
      <c r="K8" s="103" t="s">
        <v>185</v>
      </c>
      <c r="L8" s="101" t="s">
        <v>184</v>
      </c>
      <c r="M8" s="101">
        <v>497.7</v>
      </c>
      <c r="N8" s="100">
        <f>N5</f>
        <v>3.18</v>
      </c>
      <c r="O8" s="100">
        <f>O5</f>
        <v>0.04</v>
      </c>
      <c r="P8" s="101">
        <v>6.64</v>
      </c>
      <c r="Q8" s="100">
        <f>2.2/2</f>
        <v>1.1000000000000001</v>
      </c>
      <c r="R8" s="100">
        <f t="shared" si="0"/>
        <v>1.1000000000000001</v>
      </c>
      <c r="S8" s="102">
        <v>8.3999999999999992E-6</v>
      </c>
    </row>
    <row r="9" spans="1:28" ht="11.25">
      <c r="A9" s="121"/>
      <c r="B9" s="440"/>
      <c r="C9" s="123"/>
      <c r="D9" s="123"/>
      <c r="E9" s="123"/>
      <c r="F9" s="123"/>
      <c r="G9" s="123"/>
      <c r="H9" s="124">
        <f t="shared" si="1"/>
        <v>0</v>
      </c>
      <c r="K9" s="99" t="s">
        <v>216</v>
      </c>
      <c r="L9" s="101" t="s">
        <v>184</v>
      </c>
      <c r="M9" s="101">
        <v>152.30000000000001</v>
      </c>
      <c r="N9" s="100">
        <f>N5</f>
        <v>3.18</v>
      </c>
      <c r="O9" s="100">
        <f>O5</f>
        <v>0.04</v>
      </c>
      <c r="P9" s="101">
        <v>13.22</v>
      </c>
      <c r="Q9" s="100">
        <f>0.02/2</f>
        <v>0.01</v>
      </c>
      <c r="R9" s="100">
        <f t="shared" si="0"/>
        <v>0.01</v>
      </c>
      <c r="S9" s="102">
        <v>4.1999999999999996E-6</v>
      </c>
    </row>
    <row r="10" spans="1:28" ht="11.25">
      <c r="A10" s="123" t="s">
        <v>463</v>
      </c>
      <c r="B10" s="440"/>
      <c r="C10" s="123"/>
      <c r="D10" s="123"/>
      <c r="E10" s="123"/>
      <c r="F10" s="123"/>
      <c r="G10" s="123"/>
      <c r="H10" s="124"/>
      <c r="K10" s="99"/>
      <c r="L10" s="101"/>
      <c r="M10" s="101"/>
      <c r="N10" s="100"/>
      <c r="O10" s="100"/>
      <c r="P10" s="101"/>
      <c r="Q10" s="100"/>
      <c r="R10" s="100"/>
      <c r="S10" s="102"/>
    </row>
    <row r="11" spans="1:28" ht="11.25">
      <c r="A11" s="118" t="s">
        <v>403</v>
      </c>
      <c r="B11" s="341">
        <v>0</v>
      </c>
      <c r="C11" s="125">
        <f>+C5*$B5+C6*$B6+C7*$B7+C8*$B8+C9*$B9</f>
        <v>0</v>
      </c>
      <c r="D11" s="125">
        <f>+D5*$B5+D6*$B6+D7*$B7+D8*$B8+D9*$B9</f>
        <v>0</v>
      </c>
      <c r="E11" s="125">
        <f>+E5*$B5+E6*$B6+E7*$B7+E8*$B8+E9*$B9</f>
        <v>0</v>
      </c>
      <c r="F11" s="125">
        <f>+F5*$B5+F6*$B6+F7*$B7+F8*$B8+F9*$B9</f>
        <v>0</v>
      </c>
      <c r="G11" s="125">
        <f>+G5*$B5+G6*$B6+G7*$B7+G8*$B8+G9*$B9</f>
        <v>0</v>
      </c>
      <c r="H11" s="124">
        <f>+H5*$B5+H6*$B6+H7*$B7+H4*$B8+H9*$B9</f>
        <v>0</v>
      </c>
      <c r="K11" s="99" t="s">
        <v>216</v>
      </c>
      <c r="L11" s="101" t="s">
        <v>183</v>
      </c>
      <c r="M11" s="101">
        <v>7.4</v>
      </c>
      <c r="N11" s="100">
        <f>N6</f>
        <v>3.14</v>
      </c>
      <c r="O11" s="100">
        <f>O6</f>
        <v>8.0000000000000002E-3</v>
      </c>
      <c r="P11" s="101">
        <v>14.91</v>
      </c>
      <c r="Q11" s="100">
        <f>1.52/2</f>
        <v>0.76</v>
      </c>
      <c r="R11" s="100">
        <f t="shared" si="0"/>
        <v>0.76</v>
      </c>
      <c r="S11" s="102">
        <v>1.5800000000000001E-5</v>
      </c>
    </row>
    <row r="12" spans="1:28" ht="12" thickBot="1">
      <c r="A12" s="118"/>
      <c r="B12" s="441"/>
      <c r="C12" s="125"/>
      <c r="D12" s="125"/>
      <c r="E12" s="125"/>
      <c r="F12" s="125"/>
      <c r="G12" s="125"/>
      <c r="H12" s="124"/>
      <c r="K12" s="104" t="s">
        <v>217</v>
      </c>
      <c r="L12" s="105" t="s">
        <v>183</v>
      </c>
      <c r="M12" s="105">
        <v>7.58</v>
      </c>
      <c r="N12" s="106">
        <f>N6</f>
        <v>3.14</v>
      </c>
      <c r="O12" s="106">
        <f>O6</f>
        <v>8.0000000000000002E-3</v>
      </c>
      <c r="P12" s="105">
        <v>33.369999999999997</v>
      </c>
      <c r="Q12" s="106">
        <f>0.94/2</f>
        <v>0.47</v>
      </c>
      <c r="R12" s="106">
        <f t="shared" si="0"/>
        <v>0.47</v>
      </c>
      <c r="S12" s="107">
        <v>5.1000000000000003E-6</v>
      </c>
    </row>
    <row r="13" spans="1:28" ht="11.25">
      <c r="A13" s="118"/>
      <c r="B13" s="119"/>
      <c r="C13" s="123"/>
      <c r="D13" s="123"/>
      <c r="E13" s="123"/>
      <c r="F13" s="123"/>
      <c r="G13" s="123"/>
      <c r="H13" s="126"/>
    </row>
    <row r="14" spans="1:28" ht="11.25">
      <c r="A14" s="127" t="s">
        <v>256</v>
      </c>
      <c r="B14" s="128"/>
      <c r="C14" s="128"/>
      <c r="D14" s="128"/>
      <c r="E14" s="128"/>
      <c r="F14" s="128"/>
      <c r="G14" s="128"/>
      <c r="H14" s="129"/>
      <c r="K14" s="442"/>
      <c r="L14" s="100">
        <f>54879</f>
        <v>54879</v>
      </c>
      <c r="M14" s="100" t="s">
        <v>461</v>
      </c>
      <c r="N14" s="100">
        <v>2015</v>
      </c>
    </row>
    <row r="15" spans="1:28" ht="11.25">
      <c r="A15" s="121"/>
      <c r="B15" s="123"/>
      <c r="C15" s="130">
        <f>+SUM(C11+C12)*365</f>
        <v>0</v>
      </c>
      <c r="D15" s="130">
        <f>+SUM(D11+D12)*365</f>
        <v>0</v>
      </c>
      <c r="E15" s="130">
        <f>+SUM(E11+E12)*365</f>
        <v>0</v>
      </c>
      <c r="F15" s="130">
        <f>+SUM(F11+F12)*365</f>
        <v>0</v>
      </c>
      <c r="G15" s="130">
        <f>+SUM(G11+G12)*365</f>
        <v>0</v>
      </c>
      <c r="H15" s="131">
        <f>SUM(C15:G15)</f>
        <v>0</v>
      </c>
      <c r="J15" s="96" t="s">
        <v>404</v>
      </c>
      <c r="L15" s="100">
        <v>64238</v>
      </c>
      <c r="M15" s="100"/>
      <c r="N15" s="100">
        <v>2019</v>
      </c>
    </row>
    <row r="16" spans="1:28" ht="23.25" thickBot="1">
      <c r="A16" s="132" t="s">
        <v>206</v>
      </c>
      <c r="B16" s="128"/>
      <c r="C16" s="128"/>
      <c r="D16" s="128"/>
      <c r="E16" s="128"/>
      <c r="F16" s="128"/>
      <c r="G16" s="128"/>
      <c r="H16" s="129"/>
      <c r="K16" s="443" t="s">
        <v>405</v>
      </c>
    </row>
    <row r="17" spans="1:24" ht="18" customHeight="1">
      <c r="A17" s="121" t="s">
        <v>205</v>
      </c>
      <c r="B17" s="123"/>
      <c r="C17" s="133" t="e">
        <f>+C15/$H$15</f>
        <v>#DIV/0!</v>
      </c>
      <c r="D17" s="133" t="e">
        <f>+D15/$H$15</f>
        <v>#DIV/0!</v>
      </c>
      <c r="E17" s="133" t="e">
        <f>+E15/$H$15</f>
        <v>#DIV/0!</v>
      </c>
      <c r="F17" s="133" t="e">
        <f>+F15/$H$15</f>
        <v>#DIV/0!</v>
      </c>
      <c r="G17" s="133" t="e">
        <f>+G15/$H$15</f>
        <v>#DIV/0!</v>
      </c>
      <c r="H17" s="134" t="e">
        <f>SUM(C17:G17)</f>
        <v>#DIV/0!</v>
      </c>
      <c r="K17" s="825" t="s">
        <v>406</v>
      </c>
      <c r="L17" s="828" t="s">
        <v>138</v>
      </c>
      <c r="M17" s="829"/>
      <c r="N17" s="829"/>
      <c r="O17" s="829"/>
      <c r="P17" s="829"/>
      <c r="Q17" s="829"/>
      <c r="R17" s="830"/>
    </row>
    <row r="18" spans="1:24" ht="12.75">
      <c r="A18" s="121" t="s">
        <v>184</v>
      </c>
      <c r="B18" s="123"/>
      <c r="C18" s="135" t="e">
        <f>+$C$17*L33</f>
        <v>#DIV/0!</v>
      </c>
      <c r="D18" s="135" t="e">
        <f>+D17</f>
        <v>#DIV/0!</v>
      </c>
      <c r="E18" s="136" t="e">
        <f>+$E$17*M33</f>
        <v>#DIV/0!</v>
      </c>
      <c r="F18" s="135">
        <v>0</v>
      </c>
      <c r="G18" s="135">
        <v>0</v>
      </c>
      <c r="H18" s="134" t="e">
        <f>SUM(C18:G18)</f>
        <v>#DIV/0!</v>
      </c>
      <c r="K18" s="826"/>
      <c r="L18" s="444" t="s">
        <v>66</v>
      </c>
      <c r="M18" s="444" t="s">
        <v>67</v>
      </c>
      <c r="N18" s="444" t="s">
        <v>407</v>
      </c>
      <c r="O18" s="444" t="s">
        <v>408</v>
      </c>
      <c r="P18" s="444" t="s">
        <v>409</v>
      </c>
      <c r="Q18" s="444" t="s">
        <v>139</v>
      </c>
      <c r="R18" s="445" t="s">
        <v>72</v>
      </c>
      <c r="X18" s="108"/>
    </row>
    <row r="19" spans="1:24" ht="11.25">
      <c r="A19" s="121" t="s">
        <v>189</v>
      </c>
      <c r="B19" s="123"/>
      <c r="C19" s="135" t="e">
        <f>+$C$17*L34</f>
        <v>#DIV/0!</v>
      </c>
      <c r="D19" s="135">
        <v>0</v>
      </c>
      <c r="E19" s="136" t="e">
        <f>+$E$17*M34</f>
        <v>#DIV/0!</v>
      </c>
      <c r="F19" s="135" t="e">
        <f>+F17</f>
        <v>#DIV/0!</v>
      </c>
      <c r="G19" s="135" t="e">
        <f>+G17</f>
        <v>#DIV/0!</v>
      </c>
      <c r="H19" s="134" t="e">
        <f>SUM(C19:G19)</f>
        <v>#DIV/0!</v>
      </c>
      <c r="K19" s="827"/>
      <c r="L19" s="831" t="s">
        <v>140</v>
      </c>
      <c r="M19" s="832"/>
      <c r="N19" s="832"/>
      <c r="O19" s="832"/>
      <c r="P19" s="832"/>
      <c r="Q19" s="832"/>
      <c r="R19" s="833"/>
      <c r="X19" s="108"/>
    </row>
    <row r="20" spans="1:24" ht="12" thickBot="1">
      <c r="A20" s="121" t="s">
        <v>186</v>
      </c>
      <c r="B20" s="123"/>
      <c r="C20" s="135" t="e">
        <f>+$C$17*L35</f>
        <v>#DIV/0!</v>
      </c>
      <c r="D20" s="135">
        <v>0</v>
      </c>
      <c r="E20" s="136" t="e">
        <f>+$E$17*M35</f>
        <v>#DIV/0!</v>
      </c>
      <c r="F20" s="135">
        <v>0</v>
      </c>
      <c r="G20" s="135">
        <v>0</v>
      </c>
      <c r="H20" s="134" t="e">
        <f>SUM(C20:G20)</f>
        <v>#DIV/0!</v>
      </c>
      <c r="K20" s="446" t="s">
        <v>410</v>
      </c>
      <c r="L20" s="529" t="e">
        <f>H49/1000</f>
        <v>#DIV/0!</v>
      </c>
      <c r="M20" s="529" t="e">
        <f>H45/1000</f>
        <v>#DIV/0!</v>
      </c>
      <c r="N20" s="529" t="e">
        <f>H33</f>
        <v>#DIV/0!</v>
      </c>
      <c r="O20" s="529" t="e">
        <f>H53/1000000</f>
        <v>#DIV/0!</v>
      </c>
      <c r="P20" s="529" t="e">
        <f>H57/1000</f>
        <v>#DIV/0!</v>
      </c>
      <c r="Q20" s="529" t="e">
        <f>H41/1000</f>
        <v>#DIV/0!</v>
      </c>
      <c r="R20" s="530" t="e">
        <f>H37/1000</f>
        <v>#DIV/0!</v>
      </c>
      <c r="X20" s="108"/>
    </row>
    <row r="21" spans="1:24" ht="11.25">
      <c r="A21" s="127" t="s">
        <v>203</v>
      </c>
      <c r="B21" s="128"/>
      <c r="C21" s="128"/>
      <c r="D21" s="128"/>
      <c r="E21" s="128"/>
      <c r="F21" s="128"/>
      <c r="G21" s="128"/>
      <c r="H21" s="129"/>
      <c r="L21" s="263" t="e">
        <f t="shared" ref="L21:M22" si="2">L20/100</f>
        <v>#DIV/0!</v>
      </c>
      <c r="M21" s="263" t="e">
        <f t="shared" si="2"/>
        <v>#DIV/0!</v>
      </c>
      <c r="N21" s="263" t="e">
        <f t="shared" ref="N21:N22" si="3">N20/100</f>
        <v>#DIV/0!</v>
      </c>
      <c r="O21" s="263" t="e">
        <f t="shared" ref="O21:R21" si="4">O20</f>
        <v>#DIV/0!</v>
      </c>
      <c r="P21" s="263" t="e">
        <f t="shared" si="4"/>
        <v>#DIV/0!</v>
      </c>
      <c r="Q21" s="263" t="e">
        <f t="shared" si="4"/>
        <v>#DIV/0!</v>
      </c>
      <c r="R21" s="263" t="e">
        <f t="shared" si="4"/>
        <v>#DIV/0!</v>
      </c>
    </row>
    <row r="22" spans="1:24" ht="11.25" customHeight="1">
      <c r="A22" s="121" t="s">
        <v>190</v>
      </c>
      <c r="B22" s="123"/>
      <c r="C22" s="123">
        <v>70</v>
      </c>
      <c r="D22" s="123">
        <v>35</v>
      </c>
      <c r="E22" s="123">
        <v>100</v>
      </c>
      <c r="F22" s="123"/>
      <c r="G22" s="123"/>
      <c r="H22" s="126"/>
      <c r="L22" s="263" t="e">
        <f t="shared" si="2"/>
        <v>#DIV/0!</v>
      </c>
      <c r="M22" s="263" t="e">
        <f t="shared" si="2"/>
        <v>#DIV/0!</v>
      </c>
      <c r="N22" s="263" t="e">
        <f t="shared" si="3"/>
        <v>#DIV/0!</v>
      </c>
      <c r="O22" s="263" t="e">
        <f t="shared" ref="O22:R22" si="5">O21</f>
        <v>#DIV/0!</v>
      </c>
      <c r="P22" s="263" t="e">
        <f t="shared" si="5"/>
        <v>#DIV/0!</v>
      </c>
      <c r="Q22" s="263" t="e">
        <f t="shared" si="5"/>
        <v>#DIV/0!</v>
      </c>
      <c r="R22" s="263" t="e">
        <f t="shared" si="5"/>
        <v>#DIV/0!</v>
      </c>
    </row>
    <row r="23" spans="1:24" ht="24.75">
      <c r="A23" s="121" t="s">
        <v>189</v>
      </c>
      <c r="B23" s="123"/>
      <c r="C23" s="123">
        <v>60</v>
      </c>
      <c r="D23" s="123"/>
      <c r="E23" s="123">
        <v>80</v>
      </c>
      <c r="F23" s="123">
        <v>240</v>
      </c>
      <c r="G23" s="123">
        <v>240</v>
      </c>
      <c r="H23" s="126"/>
      <c r="K23" s="403" t="s">
        <v>215</v>
      </c>
      <c r="L23" s="403" t="s">
        <v>219</v>
      </c>
      <c r="M23" s="403" t="s">
        <v>220</v>
      </c>
      <c r="N23" s="403" t="s">
        <v>411</v>
      </c>
      <c r="O23" s="403" t="s">
        <v>412</v>
      </c>
      <c r="P23" s="263" t="e">
        <f t="shared" ref="P23:R23" si="6">P22</f>
        <v>#DIV/0!</v>
      </c>
      <c r="Q23" s="263" t="e">
        <f t="shared" si="6"/>
        <v>#DIV/0!</v>
      </c>
      <c r="R23" s="263" t="e">
        <f t="shared" si="6"/>
        <v>#DIV/0!</v>
      </c>
    </row>
    <row r="24" spans="1:24" ht="12" thickBot="1">
      <c r="A24" s="121" t="s">
        <v>186</v>
      </c>
      <c r="B24" s="123"/>
      <c r="C24" s="123">
        <v>57.5</v>
      </c>
      <c r="D24" s="123"/>
      <c r="E24" s="123">
        <v>130</v>
      </c>
      <c r="F24" s="123"/>
      <c r="G24" s="123"/>
      <c r="H24" s="137"/>
      <c r="K24" s="457" t="s">
        <v>400</v>
      </c>
      <c r="P24" s="263" t="e">
        <f t="shared" ref="P24:R24" si="7">P23</f>
        <v>#DIV/0!</v>
      </c>
      <c r="Q24" s="263" t="e">
        <f t="shared" si="7"/>
        <v>#DIV/0!</v>
      </c>
      <c r="R24" s="263" t="e">
        <f t="shared" si="7"/>
        <v>#DIV/0!</v>
      </c>
    </row>
    <row r="25" spans="1:24" ht="11.25">
      <c r="A25" s="138" t="s">
        <v>199</v>
      </c>
      <c r="B25" s="139"/>
      <c r="C25" s="143" t="e">
        <f t="shared" ref="C25:G25" si="8">SUM(C26:C28)</f>
        <v>#DIV/0!</v>
      </c>
      <c r="D25" s="143" t="e">
        <f t="shared" si="8"/>
        <v>#DIV/0!</v>
      </c>
      <c r="E25" s="143" t="e">
        <f t="shared" si="8"/>
        <v>#DIV/0!</v>
      </c>
      <c r="F25" s="143" t="e">
        <f t="shared" si="8"/>
        <v>#DIV/0!</v>
      </c>
      <c r="G25" s="143" t="e">
        <f t="shared" si="8"/>
        <v>#DIV/0!</v>
      </c>
      <c r="H25" s="143" t="e">
        <f>SUM(H26:H28)</f>
        <v>#DIV/0!</v>
      </c>
      <c r="K25" s="405" t="s">
        <v>190</v>
      </c>
      <c r="L25" s="130" t="e">
        <f>H30</f>
        <v>#DIV/0!</v>
      </c>
      <c r="M25" s="458">
        <v>44.3</v>
      </c>
      <c r="N25" s="458" t="e">
        <f>+L25*M25/1000</f>
        <v>#DIV/0!</v>
      </c>
      <c r="O25" s="123" t="e">
        <f>N25/3.6</f>
        <v>#DIV/0!</v>
      </c>
      <c r="P25" s="263" t="e">
        <f t="shared" ref="P25:R25" si="9">P24</f>
        <v>#DIV/0!</v>
      </c>
      <c r="Q25" s="263" t="e">
        <f t="shared" si="9"/>
        <v>#DIV/0!</v>
      </c>
      <c r="R25" s="263" t="e">
        <f t="shared" si="9"/>
        <v>#DIV/0!</v>
      </c>
    </row>
    <row r="26" spans="1:24" ht="11.25">
      <c r="A26" s="121" t="s">
        <v>190</v>
      </c>
      <c r="B26" s="123"/>
      <c r="C26" s="130" t="e">
        <f>ROUND(C18*$H$15,2)</f>
        <v>#DIV/0!</v>
      </c>
      <c r="D26" s="130" t="e">
        <f t="shared" ref="C26:G28" si="10">ROUND(D18*$H$15,2)</f>
        <v>#DIV/0!</v>
      </c>
      <c r="E26" s="130" t="e">
        <f t="shared" si="10"/>
        <v>#DIV/0!</v>
      </c>
      <c r="F26" s="130">
        <f t="shared" si="10"/>
        <v>0</v>
      </c>
      <c r="G26" s="130">
        <f t="shared" si="10"/>
        <v>0</v>
      </c>
      <c r="H26" s="140" t="e">
        <f>SUM(C26:G26)</f>
        <v>#DIV/0!</v>
      </c>
      <c r="K26" s="405" t="s">
        <v>189</v>
      </c>
      <c r="L26" s="130" t="e">
        <f>H31</f>
        <v>#DIV/0!</v>
      </c>
      <c r="M26" s="458">
        <v>43</v>
      </c>
      <c r="N26" s="458" t="e">
        <f t="shared" ref="N26:N27" si="11">+L26*M26/1000</f>
        <v>#DIV/0!</v>
      </c>
      <c r="O26" s="123" t="e">
        <f t="shared" ref="O26:O27" si="12">N26/3.6</f>
        <v>#DIV/0!</v>
      </c>
    </row>
    <row r="27" spans="1:24" ht="12" thickBot="1">
      <c r="A27" s="121" t="s">
        <v>189</v>
      </c>
      <c r="B27" s="123"/>
      <c r="C27" s="130" t="e">
        <f t="shared" si="10"/>
        <v>#DIV/0!</v>
      </c>
      <c r="D27" s="130">
        <f t="shared" si="10"/>
        <v>0</v>
      </c>
      <c r="E27" s="130" t="e">
        <f t="shared" si="10"/>
        <v>#DIV/0!</v>
      </c>
      <c r="F27" s="130" t="e">
        <f t="shared" si="10"/>
        <v>#DIV/0!</v>
      </c>
      <c r="G27" s="130" t="e">
        <f t="shared" si="10"/>
        <v>#DIV/0!</v>
      </c>
      <c r="H27" s="140" t="e">
        <f>SUM(C27:G27)</f>
        <v>#DIV/0!</v>
      </c>
      <c r="K27" s="406" t="s">
        <v>186</v>
      </c>
      <c r="L27" s="130" t="e">
        <f>H32</f>
        <v>#DIV/0!</v>
      </c>
      <c r="M27" s="458">
        <v>47.3</v>
      </c>
      <c r="N27" s="458" t="e">
        <f t="shared" si="11"/>
        <v>#DIV/0!</v>
      </c>
      <c r="O27" s="123" t="e">
        <f t="shared" si="12"/>
        <v>#DIV/0!</v>
      </c>
    </row>
    <row r="28" spans="1:24" ht="12" thickBot="1">
      <c r="A28" s="447" t="s">
        <v>186</v>
      </c>
      <c r="B28" s="448"/>
      <c r="C28" s="449" t="e">
        <f t="shared" si="10"/>
        <v>#DIV/0!</v>
      </c>
      <c r="D28" s="449">
        <f t="shared" si="10"/>
        <v>0</v>
      </c>
      <c r="E28" s="449" t="e">
        <f t="shared" si="10"/>
        <v>#DIV/0!</v>
      </c>
      <c r="F28" s="449">
        <f t="shared" si="10"/>
        <v>0</v>
      </c>
      <c r="G28" s="449">
        <f t="shared" si="10"/>
        <v>0</v>
      </c>
      <c r="H28" s="450" t="e">
        <f>SUM(C28:G28)</f>
        <v>#DIV/0!</v>
      </c>
      <c r="I28" s="451" t="s">
        <v>255</v>
      </c>
      <c r="J28" s="260"/>
      <c r="K28" s="405" t="s">
        <v>213</v>
      </c>
      <c r="L28" s="130" t="e">
        <f>SUM(L25:L27)</f>
        <v>#DIV/0!</v>
      </c>
      <c r="M28" s="458"/>
      <c r="N28" s="458" t="e">
        <f>SUM(N25:N27)</f>
        <v>#DIV/0!</v>
      </c>
      <c r="O28" s="123" t="e">
        <f>N28/3.6</f>
        <v>#DIV/0!</v>
      </c>
    </row>
    <row r="29" spans="1:24" ht="12" thickBot="1">
      <c r="A29" s="141" t="s">
        <v>197</v>
      </c>
      <c r="B29" s="142"/>
      <c r="C29" s="142"/>
      <c r="D29" s="142"/>
      <c r="E29" s="142"/>
      <c r="F29" s="142"/>
      <c r="G29" s="142"/>
      <c r="H29" s="143" t="e">
        <f>SUM(H30:H32)</f>
        <v>#DIV/0!</v>
      </c>
      <c r="I29" s="175"/>
      <c r="J29" s="261"/>
    </row>
    <row r="30" spans="1:24" ht="11.25">
      <c r="A30" s="144" t="s">
        <v>190</v>
      </c>
      <c r="B30" s="145"/>
      <c r="C30" s="146" t="e">
        <f t="shared" ref="C30:G32" si="13">+C22*C26/1000</f>
        <v>#DIV/0!</v>
      </c>
      <c r="D30" s="146" t="e">
        <f t="shared" si="13"/>
        <v>#DIV/0!</v>
      </c>
      <c r="E30" s="146" t="e">
        <f t="shared" si="13"/>
        <v>#DIV/0!</v>
      </c>
      <c r="F30" s="146">
        <f t="shared" si="13"/>
        <v>0</v>
      </c>
      <c r="G30" s="146">
        <f t="shared" si="13"/>
        <v>0</v>
      </c>
      <c r="H30" s="147" t="e">
        <f>SUM(C30:G30)</f>
        <v>#DIV/0!</v>
      </c>
      <c r="I30" s="178"/>
    </row>
    <row r="31" spans="1:24" ht="12">
      <c r="A31" s="121" t="s">
        <v>189</v>
      </c>
      <c r="B31" s="148"/>
      <c r="C31" s="149" t="e">
        <f t="shared" si="13"/>
        <v>#DIV/0!</v>
      </c>
      <c r="D31" s="149">
        <f t="shared" si="13"/>
        <v>0</v>
      </c>
      <c r="E31" s="149" t="e">
        <f t="shared" si="13"/>
        <v>#DIV/0!</v>
      </c>
      <c r="F31" s="149" t="e">
        <f t="shared" si="13"/>
        <v>#DIV/0!</v>
      </c>
      <c r="G31" s="149" t="e">
        <f t="shared" si="13"/>
        <v>#DIV/0!</v>
      </c>
      <c r="H31" s="150" t="e">
        <f>SUM(C31:G31)</f>
        <v>#DIV/0!</v>
      </c>
      <c r="I31" s="178"/>
      <c r="K31" s="459" t="s">
        <v>464</v>
      </c>
      <c r="L31" s="459"/>
      <c r="M31" s="459"/>
      <c r="T31" s="452"/>
      <c r="U31" s="452"/>
      <c r="V31" s="452"/>
    </row>
    <row r="32" spans="1:24" ht="12.75" thickBot="1">
      <c r="A32" s="151" t="s">
        <v>186</v>
      </c>
      <c r="B32" s="152"/>
      <c r="C32" s="153" t="e">
        <f t="shared" si="13"/>
        <v>#DIV/0!</v>
      </c>
      <c r="D32" s="153">
        <f t="shared" si="13"/>
        <v>0</v>
      </c>
      <c r="E32" s="153" t="e">
        <f t="shared" si="13"/>
        <v>#DIV/0!</v>
      </c>
      <c r="F32" s="153">
        <f t="shared" si="13"/>
        <v>0</v>
      </c>
      <c r="G32" s="153">
        <f t="shared" si="13"/>
        <v>0</v>
      </c>
      <c r="H32" s="154" t="e">
        <f>SUM(C32:G32)</f>
        <v>#DIV/0!</v>
      </c>
      <c r="I32" s="179"/>
      <c r="J32" s="260"/>
      <c r="K32" s="403" t="s">
        <v>215</v>
      </c>
      <c r="L32" s="403" t="s">
        <v>204</v>
      </c>
      <c r="M32" s="403" t="s">
        <v>413</v>
      </c>
      <c r="T32" s="453"/>
      <c r="U32" s="453"/>
      <c r="V32" s="453"/>
      <c r="W32" s="454"/>
    </row>
    <row r="33" spans="1:23" ht="12.75" thickBot="1">
      <c r="A33" s="155" t="s">
        <v>254</v>
      </c>
      <c r="B33" s="156"/>
      <c r="C33" s="122"/>
      <c r="D33" s="122"/>
      <c r="E33" s="122"/>
      <c r="F33" s="122"/>
      <c r="G33" s="122"/>
      <c r="H33" s="143" t="e">
        <f>SUM(H34:H36)</f>
        <v>#DIV/0!</v>
      </c>
      <c r="I33" s="175"/>
      <c r="J33" s="261"/>
      <c r="K33" s="100" t="s">
        <v>201</v>
      </c>
      <c r="L33" s="542">
        <v>0.32</v>
      </c>
      <c r="M33" s="542">
        <v>0.13</v>
      </c>
      <c r="T33" s="453"/>
      <c r="U33" s="453"/>
      <c r="V33" s="453"/>
    </row>
    <row r="34" spans="1:23" ht="12">
      <c r="A34" s="144" t="s">
        <v>190</v>
      </c>
      <c r="B34" s="145"/>
      <c r="C34" s="157" t="e">
        <f t="shared" ref="C34:G36" si="14">+C30*$N5/1000</f>
        <v>#DIV/0!</v>
      </c>
      <c r="D34" s="157" t="e">
        <f t="shared" si="14"/>
        <v>#DIV/0!</v>
      </c>
      <c r="E34" s="157" t="e">
        <f t="shared" si="14"/>
        <v>#DIV/0!</v>
      </c>
      <c r="F34" s="157">
        <f t="shared" si="14"/>
        <v>0</v>
      </c>
      <c r="G34" s="157">
        <f t="shared" si="14"/>
        <v>0</v>
      </c>
      <c r="H34" s="158" t="e">
        <f>SUM(C34:G34)</f>
        <v>#DIV/0!</v>
      </c>
      <c r="I34" s="176" t="e">
        <f>+C34/C26</f>
        <v>#DIV/0!</v>
      </c>
      <c r="J34" s="262"/>
      <c r="K34" s="100" t="s">
        <v>200</v>
      </c>
      <c r="L34" s="542">
        <v>0.22</v>
      </c>
      <c r="M34" s="542">
        <v>0.84</v>
      </c>
      <c r="T34" s="453"/>
      <c r="U34" s="453"/>
      <c r="V34" s="453"/>
    </row>
    <row r="35" spans="1:23" ht="12">
      <c r="A35" s="121" t="s">
        <v>189</v>
      </c>
      <c r="B35" s="148"/>
      <c r="C35" s="130" t="e">
        <f t="shared" si="14"/>
        <v>#DIV/0!</v>
      </c>
      <c r="D35" s="130">
        <f t="shared" si="14"/>
        <v>0</v>
      </c>
      <c r="E35" s="130" t="e">
        <f t="shared" si="14"/>
        <v>#DIV/0!</v>
      </c>
      <c r="F35" s="130" t="e">
        <f t="shared" si="14"/>
        <v>#DIV/0!</v>
      </c>
      <c r="G35" s="130" t="e">
        <f t="shared" si="14"/>
        <v>#DIV/0!</v>
      </c>
      <c r="H35" s="131" t="e">
        <f>SUM(C35:G35)</f>
        <v>#DIV/0!</v>
      </c>
      <c r="I35" s="176" t="e">
        <f>+C35/C27</f>
        <v>#DIV/0!</v>
      </c>
      <c r="J35" s="262"/>
      <c r="K35" s="100" t="s">
        <v>186</v>
      </c>
      <c r="L35" s="542">
        <v>0.46</v>
      </c>
      <c r="M35" s="542">
        <v>0.03</v>
      </c>
      <c r="T35" s="453"/>
      <c r="U35" s="453"/>
      <c r="V35" s="453"/>
      <c r="W35" s="454"/>
    </row>
    <row r="36" spans="1:23" ht="12.75" thickBot="1">
      <c r="A36" s="151" t="s">
        <v>186</v>
      </c>
      <c r="B36" s="152"/>
      <c r="C36" s="159" t="e">
        <f t="shared" si="14"/>
        <v>#DIV/0!</v>
      </c>
      <c r="D36" s="159">
        <f t="shared" si="14"/>
        <v>0</v>
      </c>
      <c r="E36" s="159" t="e">
        <f t="shared" si="14"/>
        <v>#DIV/0!</v>
      </c>
      <c r="F36" s="159">
        <f t="shared" si="14"/>
        <v>0</v>
      </c>
      <c r="G36" s="159">
        <f t="shared" si="14"/>
        <v>0</v>
      </c>
      <c r="H36" s="160" t="e">
        <f>SUM(C36:G36)</f>
        <v>#DIV/0!</v>
      </c>
      <c r="I36" s="176" t="e">
        <f t="shared" ref="I36" si="15">+C36/C28</f>
        <v>#DIV/0!</v>
      </c>
      <c r="J36" s="262"/>
      <c r="K36" s="402" t="s">
        <v>202</v>
      </c>
      <c r="L36" s="100"/>
      <c r="M36" s="100"/>
      <c r="T36" s="453"/>
      <c r="U36" s="453"/>
      <c r="V36" s="453"/>
    </row>
    <row r="37" spans="1:23" ht="12.75" thickBot="1">
      <c r="A37" s="161" t="s">
        <v>196</v>
      </c>
      <c r="B37" s="156"/>
      <c r="C37" s="122"/>
      <c r="D37" s="122"/>
      <c r="E37" s="122"/>
      <c r="F37" s="122"/>
      <c r="G37" s="122"/>
      <c r="H37" s="143" t="e">
        <f>SUM(H38:H40)</f>
        <v>#DIV/0!</v>
      </c>
      <c r="I37" s="175"/>
      <c r="J37" s="261"/>
      <c r="K37" s="100"/>
      <c r="L37" s="101" t="s">
        <v>221</v>
      </c>
      <c r="M37" s="404" t="s">
        <v>222</v>
      </c>
      <c r="T37" s="453"/>
      <c r="U37" s="453"/>
      <c r="V37" s="453"/>
    </row>
    <row r="38" spans="1:23" ht="15.75">
      <c r="A38" s="144" t="s">
        <v>190</v>
      </c>
      <c r="B38" s="145"/>
      <c r="C38" s="157" t="e">
        <f>+C30*M5/1000</f>
        <v>#DIV/0!</v>
      </c>
      <c r="D38" s="157" t="e">
        <f>+D30*M8/1000</f>
        <v>#DIV/0!</v>
      </c>
      <c r="E38" s="157" t="e">
        <f>+E30+M9/1000</f>
        <v>#DIV/0!</v>
      </c>
      <c r="F38" s="157">
        <v>0</v>
      </c>
      <c r="G38" s="157">
        <v>0</v>
      </c>
      <c r="H38" s="158" t="e">
        <f>SUM(C38:G38)</f>
        <v>#DIV/0!</v>
      </c>
      <c r="I38" s="176" t="e">
        <f>+C38/C26</f>
        <v>#DIV/0!</v>
      </c>
      <c r="J38" s="262"/>
      <c r="K38" s="100" t="s">
        <v>201</v>
      </c>
      <c r="L38" s="101">
        <v>750</v>
      </c>
      <c r="M38" s="100"/>
      <c r="N38" s="531"/>
      <c r="T38" s="453"/>
      <c r="U38" s="453"/>
      <c r="V38" s="453"/>
    </row>
    <row r="39" spans="1:23" ht="12">
      <c r="A39" s="121" t="s">
        <v>189</v>
      </c>
      <c r="B39" s="148"/>
      <c r="C39" s="130" t="e">
        <f>+C31*M6/1000</f>
        <v>#DIV/0!</v>
      </c>
      <c r="D39" s="130">
        <v>0</v>
      </c>
      <c r="E39" s="130" t="e">
        <f>+E31*M11/1000</f>
        <v>#DIV/0!</v>
      </c>
      <c r="F39" s="130" t="e">
        <f>+F31*M12/1000</f>
        <v>#DIV/0!</v>
      </c>
      <c r="G39" s="130" t="e">
        <f>+G31*M12/1000</f>
        <v>#DIV/0!</v>
      </c>
      <c r="H39" s="131" t="e">
        <f>SUM(C39:G39)</f>
        <v>#DIV/0!</v>
      </c>
      <c r="I39" s="176" t="e">
        <f t="shared" ref="I39:I40" si="16">+C39/C27</f>
        <v>#DIV/0!</v>
      </c>
      <c r="J39" s="262"/>
      <c r="K39" s="100" t="s">
        <v>200</v>
      </c>
      <c r="L39" s="101">
        <v>830</v>
      </c>
      <c r="M39" s="100"/>
      <c r="N39" s="460"/>
      <c r="T39" s="453"/>
      <c r="U39" s="453"/>
      <c r="V39" s="453"/>
    </row>
    <row r="40" spans="1:23" ht="12.75" thickBot="1">
      <c r="A40" s="151" t="s">
        <v>186</v>
      </c>
      <c r="B40" s="152"/>
      <c r="C40" s="159" t="e">
        <f>+C32*M7/1000</f>
        <v>#DIV/0!</v>
      </c>
      <c r="D40" s="159">
        <v>0</v>
      </c>
      <c r="E40" s="159">
        <v>0</v>
      </c>
      <c r="F40" s="159">
        <v>0</v>
      </c>
      <c r="G40" s="159">
        <v>0</v>
      </c>
      <c r="H40" s="160" t="e">
        <f>SUM(C40:G40)</f>
        <v>#DIV/0!</v>
      </c>
      <c r="I40" s="176" t="e">
        <f t="shared" si="16"/>
        <v>#DIV/0!</v>
      </c>
      <c r="J40" s="262"/>
      <c r="K40" s="100" t="s">
        <v>186</v>
      </c>
      <c r="L40" s="101">
        <v>544</v>
      </c>
      <c r="M40" s="100"/>
      <c r="N40" s="460"/>
      <c r="T40" s="453"/>
      <c r="U40" s="453"/>
      <c r="V40" s="453"/>
      <c r="W40" s="454"/>
    </row>
    <row r="41" spans="1:23" ht="12" thickBot="1">
      <c r="A41" s="161" t="s">
        <v>195</v>
      </c>
      <c r="B41" s="156"/>
      <c r="C41" s="122"/>
      <c r="D41" s="122"/>
      <c r="E41" s="122"/>
      <c r="F41" s="122"/>
      <c r="G41" s="122"/>
      <c r="H41" s="143" t="e">
        <f>SUM(H42:H44)</f>
        <v>#DIV/0!</v>
      </c>
      <c r="I41" s="175"/>
      <c r="J41" s="261"/>
    </row>
    <row r="42" spans="1:23" ht="12">
      <c r="A42" s="144" t="s">
        <v>190</v>
      </c>
      <c r="B42" s="145"/>
      <c r="C42" s="157" t="e">
        <f>+C30*P5/1000</f>
        <v>#DIV/0!</v>
      </c>
      <c r="D42" s="157" t="e">
        <f>+D30*P8/1000</f>
        <v>#DIV/0!</v>
      </c>
      <c r="E42" s="157" t="e">
        <f>+E30*P9/1000</f>
        <v>#DIV/0!</v>
      </c>
      <c r="F42" s="157">
        <v>0</v>
      </c>
      <c r="G42" s="157">
        <v>0</v>
      </c>
      <c r="H42" s="158" t="e">
        <f>SUM(C42:G42)</f>
        <v>#DIV/0!</v>
      </c>
      <c r="I42" s="176" t="e">
        <f>+C42/C26</f>
        <v>#DIV/0!</v>
      </c>
      <c r="J42" s="262"/>
      <c r="T42" s="455"/>
      <c r="U42" s="455"/>
      <c r="V42" s="455"/>
    </row>
    <row r="43" spans="1:23" ht="12">
      <c r="A43" s="121" t="s">
        <v>189</v>
      </c>
      <c r="B43" s="148"/>
      <c r="C43" s="130" t="e">
        <f>+C31*P6/1000</f>
        <v>#DIV/0!</v>
      </c>
      <c r="D43" s="130">
        <v>0</v>
      </c>
      <c r="E43" s="130" t="e">
        <f>+E31*P11/1000</f>
        <v>#DIV/0!</v>
      </c>
      <c r="F43" s="130" t="e">
        <f>+F31*P12/1000</f>
        <v>#DIV/0!</v>
      </c>
      <c r="G43" s="130" t="e">
        <f>+G31*P12/1000</f>
        <v>#DIV/0!</v>
      </c>
      <c r="H43" s="131" t="e">
        <f>SUM(C43:G43)</f>
        <v>#DIV/0!</v>
      </c>
      <c r="I43" s="176" t="e">
        <f t="shared" ref="I43:I44" si="17">+C43/C27</f>
        <v>#DIV/0!</v>
      </c>
      <c r="J43" s="262"/>
      <c r="T43" s="456"/>
      <c r="U43" s="456"/>
      <c r="V43" s="456"/>
    </row>
    <row r="44" spans="1:23" ht="12.75" thickBot="1">
      <c r="A44" s="151" t="s">
        <v>186</v>
      </c>
      <c r="B44" s="152"/>
      <c r="C44" s="159" t="e">
        <f>+C32*P7/1000</f>
        <v>#DIV/0!</v>
      </c>
      <c r="D44" s="159">
        <v>0</v>
      </c>
      <c r="E44" s="159">
        <v>0</v>
      </c>
      <c r="F44" s="159">
        <v>0</v>
      </c>
      <c r="G44" s="159">
        <v>0</v>
      </c>
      <c r="H44" s="160" t="e">
        <f>SUM(C44:G44)</f>
        <v>#DIV/0!</v>
      </c>
      <c r="I44" s="176" t="e">
        <f t="shared" si="17"/>
        <v>#DIV/0!</v>
      </c>
      <c r="J44" s="262"/>
      <c r="T44" s="456"/>
      <c r="U44" s="456"/>
      <c r="V44" s="456"/>
    </row>
    <row r="45" spans="1:23" ht="12" thickBot="1">
      <c r="A45" s="161" t="s">
        <v>194</v>
      </c>
      <c r="B45" s="156"/>
      <c r="C45" s="122"/>
      <c r="D45" s="122"/>
      <c r="E45" s="122"/>
      <c r="F45" s="122"/>
      <c r="G45" s="122"/>
      <c r="H45" s="143" t="e">
        <f>SUM(H46:H48)</f>
        <v>#DIV/0!</v>
      </c>
      <c r="I45" s="175"/>
      <c r="J45" s="261"/>
      <c r="N45" s="263">
        <f>'[5]Łączna emisja'!F10</f>
        <v>9.5541408035599993E-6</v>
      </c>
      <c r="O45" s="263">
        <f>'[5]Łączna emisja'!G10</f>
        <v>2.6462135977599999E-2</v>
      </c>
    </row>
    <row r="46" spans="1:23" ht="11.25">
      <c r="A46" s="144" t="s">
        <v>190</v>
      </c>
      <c r="B46" s="145"/>
      <c r="C46" s="162" t="e">
        <f>+C30*Q5/1000</f>
        <v>#DIV/0!</v>
      </c>
      <c r="D46" s="162" t="e">
        <f>+D30*Q8/1000</f>
        <v>#DIV/0!</v>
      </c>
      <c r="E46" s="162" t="e">
        <f>+E30*Q9/1000</f>
        <v>#DIV/0!</v>
      </c>
      <c r="F46" s="162">
        <v>0</v>
      </c>
      <c r="G46" s="162">
        <v>0</v>
      </c>
      <c r="H46" s="163" t="e">
        <f>SUM(C46:G46)</f>
        <v>#DIV/0!</v>
      </c>
      <c r="I46" s="176" t="e">
        <f>+C46/C26</f>
        <v>#DIV/0!</v>
      </c>
      <c r="J46" s="262"/>
    </row>
    <row r="47" spans="1:23" ht="11.25">
      <c r="A47" s="121" t="s">
        <v>189</v>
      </c>
      <c r="B47" s="148"/>
      <c r="C47" s="164" t="e">
        <f>+C31*Q6/1000</f>
        <v>#DIV/0!</v>
      </c>
      <c r="D47" s="164">
        <v>0</v>
      </c>
      <c r="E47" s="164" t="e">
        <f>+E31*Q11/1000</f>
        <v>#DIV/0!</v>
      </c>
      <c r="F47" s="164" t="e">
        <f>+F31*Q12/1000</f>
        <v>#DIV/0!</v>
      </c>
      <c r="G47" s="164" t="e">
        <f>+G31*Q12/1000</f>
        <v>#DIV/0!</v>
      </c>
      <c r="H47" s="165" t="e">
        <f>SUM(C47:G47)</f>
        <v>#DIV/0!</v>
      </c>
      <c r="I47" s="176" t="e">
        <f t="shared" ref="I47:I48" si="18">+C47/C27</f>
        <v>#DIV/0!</v>
      </c>
      <c r="J47" s="262"/>
    </row>
    <row r="48" spans="1:23" ht="12" thickBot="1">
      <c r="A48" s="151" t="s">
        <v>186</v>
      </c>
      <c r="B48" s="152"/>
      <c r="C48" s="166" t="e">
        <f>+C32*Q7</f>
        <v>#DIV/0!</v>
      </c>
      <c r="D48" s="166">
        <v>0</v>
      </c>
      <c r="E48" s="166">
        <v>0</v>
      </c>
      <c r="F48" s="166">
        <v>0</v>
      </c>
      <c r="G48" s="166">
        <v>0</v>
      </c>
      <c r="H48" s="167" t="e">
        <f>SUM(C48:G48)</f>
        <v>#DIV/0!</v>
      </c>
      <c r="I48" s="176" t="e">
        <f t="shared" si="18"/>
        <v>#DIV/0!</v>
      </c>
      <c r="J48" s="262"/>
    </row>
    <row r="49" spans="1:17" ht="12" thickBot="1">
      <c r="A49" s="161" t="s">
        <v>193</v>
      </c>
      <c r="B49" s="156"/>
      <c r="C49" s="122"/>
      <c r="D49" s="122"/>
      <c r="E49" s="122"/>
      <c r="F49" s="122"/>
      <c r="G49" s="122"/>
      <c r="H49" s="143" t="e">
        <f>SUM(H50:H52)</f>
        <v>#DIV/0!</v>
      </c>
      <c r="I49" s="175"/>
      <c r="J49" s="261"/>
    </row>
    <row r="50" spans="1:17" ht="11.25">
      <c r="A50" s="144" t="s">
        <v>190</v>
      </c>
      <c r="B50" s="145"/>
      <c r="C50" s="162" t="e">
        <f t="shared" ref="C50:G52" si="19">C46</f>
        <v>#DIV/0!</v>
      </c>
      <c r="D50" s="162" t="e">
        <f t="shared" si="19"/>
        <v>#DIV/0!</v>
      </c>
      <c r="E50" s="162" t="e">
        <f t="shared" si="19"/>
        <v>#DIV/0!</v>
      </c>
      <c r="F50" s="162">
        <f t="shared" si="19"/>
        <v>0</v>
      </c>
      <c r="G50" s="162">
        <f t="shared" si="19"/>
        <v>0</v>
      </c>
      <c r="H50" s="163" t="e">
        <f>SUM(C50:G50)</f>
        <v>#DIV/0!</v>
      </c>
      <c r="I50" s="176" t="e">
        <f>+C50/C26</f>
        <v>#DIV/0!</v>
      </c>
      <c r="J50" s="262"/>
    </row>
    <row r="51" spans="1:17" ht="11.25">
      <c r="A51" s="121" t="s">
        <v>189</v>
      </c>
      <c r="B51" s="148"/>
      <c r="C51" s="164" t="e">
        <f t="shared" si="19"/>
        <v>#DIV/0!</v>
      </c>
      <c r="D51" s="164">
        <f t="shared" si="19"/>
        <v>0</v>
      </c>
      <c r="E51" s="164" t="e">
        <f t="shared" si="19"/>
        <v>#DIV/0!</v>
      </c>
      <c r="F51" s="164" t="e">
        <f t="shared" si="19"/>
        <v>#DIV/0!</v>
      </c>
      <c r="G51" s="164" t="e">
        <f t="shared" si="19"/>
        <v>#DIV/0!</v>
      </c>
      <c r="H51" s="165" t="e">
        <f>SUM(C51:G51)</f>
        <v>#DIV/0!</v>
      </c>
      <c r="I51" s="176" t="e">
        <f t="shared" ref="I51:I52" si="20">+C51/C27</f>
        <v>#DIV/0!</v>
      </c>
      <c r="J51" s="262"/>
    </row>
    <row r="52" spans="1:17" ht="12" thickBot="1">
      <c r="A52" s="151" t="s">
        <v>186</v>
      </c>
      <c r="B52" s="152"/>
      <c r="C52" s="166" t="e">
        <f t="shared" si="19"/>
        <v>#DIV/0!</v>
      </c>
      <c r="D52" s="166">
        <f t="shared" si="19"/>
        <v>0</v>
      </c>
      <c r="E52" s="166">
        <f t="shared" si="19"/>
        <v>0</v>
      </c>
      <c r="F52" s="166">
        <f t="shared" si="19"/>
        <v>0</v>
      </c>
      <c r="G52" s="166">
        <f t="shared" si="19"/>
        <v>0</v>
      </c>
      <c r="H52" s="167" t="e">
        <f>SUM(C52:G52)</f>
        <v>#DIV/0!</v>
      </c>
      <c r="I52" s="176" t="e">
        <f t="shared" si="20"/>
        <v>#DIV/0!</v>
      </c>
      <c r="J52" s="262"/>
    </row>
    <row r="53" spans="1:17" ht="12" thickBot="1">
      <c r="A53" s="161" t="s">
        <v>192</v>
      </c>
      <c r="B53" s="156"/>
      <c r="C53" s="122"/>
      <c r="D53" s="122"/>
      <c r="E53" s="122"/>
      <c r="F53" s="122"/>
      <c r="G53" s="122"/>
      <c r="H53" s="143" t="e">
        <f>SUM(H54:H56)</f>
        <v>#DIV/0!</v>
      </c>
      <c r="I53" s="175"/>
      <c r="J53" s="261"/>
    </row>
    <row r="54" spans="1:17" ht="11.25">
      <c r="A54" s="144" t="s">
        <v>190</v>
      </c>
      <c r="B54" s="145"/>
      <c r="C54" s="162" t="e">
        <f>+C30*S5</f>
        <v>#DIV/0!</v>
      </c>
      <c r="D54" s="162" t="e">
        <f>+D30*S8</f>
        <v>#DIV/0!</v>
      </c>
      <c r="E54" s="162" t="e">
        <f>+E30*S9</f>
        <v>#DIV/0!</v>
      </c>
      <c r="F54" s="162">
        <v>0</v>
      </c>
      <c r="G54" s="162">
        <v>0</v>
      </c>
      <c r="H54" s="163" t="e">
        <f>SUM(C54:G54)</f>
        <v>#DIV/0!</v>
      </c>
      <c r="I54" s="176" t="e">
        <f>+C54/C26</f>
        <v>#DIV/0!</v>
      </c>
      <c r="J54" s="262"/>
    </row>
    <row r="55" spans="1:17" ht="11.25">
      <c r="A55" s="121" t="s">
        <v>189</v>
      </c>
      <c r="B55" s="148"/>
      <c r="C55" s="164" t="e">
        <f>+C31*S6</f>
        <v>#DIV/0!</v>
      </c>
      <c r="D55" s="164">
        <v>0</v>
      </c>
      <c r="E55" s="164" t="e">
        <f>+E31*S11</f>
        <v>#DIV/0!</v>
      </c>
      <c r="F55" s="164" t="e">
        <f>+F31*S12</f>
        <v>#DIV/0!</v>
      </c>
      <c r="G55" s="164" t="e">
        <f>+G31*S12</f>
        <v>#DIV/0!</v>
      </c>
      <c r="H55" s="165" t="e">
        <f>SUM(C55:G55)</f>
        <v>#DIV/0!</v>
      </c>
      <c r="I55" s="176" t="e">
        <f t="shared" ref="I55:I56" si="21">+C55/C27</f>
        <v>#DIV/0!</v>
      </c>
      <c r="J55" s="262"/>
    </row>
    <row r="56" spans="1:17" ht="12" thickBot="1">
      <c r="A56" s="151" t="s">
        <v>186</v>
      </c>
      <c r="B56" s="152"/>
      <c r="C56" s="166" t="e">
        <f>+C32*S7</f>
        <v>#DIV/0!</v>
      </c>
      <c r="D56" s="166">
        <v>0</v>
      </c>
      <c r="E56" s="166">
        <v>0</v>
      </c>
      <c r="F56" s="166">
        <v>0</v>
      </c>
      <c r="G56" s="166">
        <v>0</v>
      </c>
      <c r="H56" s="167" t="e">
        <f>SUM(C56:G56)</f>
        <v>#DIV/0!</v>
      </c>
      <c r="I56" s="176" t="e">
        <f t="shared" si="21"/>
        <v>#DIV/0!</v>
      </c>
      <c r="J56" s="262"/>
    </row>
    <row r="57" spans="1:17" ht="12" thickBot="1">
      <c r="A57" s="161" t="s">
        <v>191</v>
      </c>
      <c r="B57" s="156"/>
      <c r="C57" s="122"/>
      <c r="D57" s="122"/>
      <c r="E57" s="122"/>
      <c r="F57" s="122"/>
      <c r="G57" s="122"/>
      <c r="H57" s="143" t="e">
        <f>SUM(H58:H60)</f>
        <v>#DIV/0!</v>
      </c>
      <c r="I57" s="175"/>
      <c r="J57" s="261"/>
    </row>
    <row r="58" spans="1:17" ht="11.25">
      <c r="A58" s="144" t="s">
        <v>190</v>
      </c>
      <c r="B58" s="145"/>
      <c r="C58" s="162" t="e">
        <f t="shared" ref="C58:G60" si="22">+C30*$O5/1000</f>
        <v>#DIV/0!</v>
      </c>
      <c r="D58" s="162" t="e">
        <f t="shared" si="22"/>
        <v>#DIV/0!</v>
      </c>
      <c r="E58" s="162" t="e">
        <f t="shared" si="22"/>
        <v>#DIV/0!</v>
      </c>
      <c r="F58" s="162">
        <f t="shared" si="22"/>
        <v>0</v>
      </c>
      <c r="G58" s="162">
        <f t="shared" si="22"/>
        <v>0</v>
      </c>
      <c r="H58" s="163" t="e">
        <f>SUM(C58:G58)</f>
        <v>#DIV/0!</v>
      </c>
      <c r="I58" s="176" t="e">
        <f>+C58/C26</f>
        <v>#DIV/0!</v>
      </c>
      <c r="J58" s="262"/>
    </row>
    <row r="59" spans="1:17" ht="11.25">
      <c r="A59" s="121" t="s">
        <v>189</v>
      </c>
      <c r="B59" s="148"/>
      <c r="C59" s="164" t="e">
        <f t="shared" si="22"/>
        <v>#DIV/0!</v>
      </c>
      <c r="D59" s="164">
        <f t="shared" si="22"/>
        <v>0</v>
      </c>
      <c r="E59" s="164" t="e">
        <f t="shared" si="22"/>
        <v>#DIV/0!</v>
      </c>
      <c r="F59" s="164" t="e">
        <f t="shared" si="22"/>
        <v>#DIV/0!</v>
      </c>
      <c r="G59" s="164" t="e">
        <f t="shared" si="22"/>
        <v>#DIV/0!</v>
      </c>
      <c r="H59" s="165" t="e">
        <f>SUM(C59:G59)</f>
        <v>#DIV/0!</v>
      </c>
      <c r="I59" s="176" t="e">
        <f t="shared" ref="I59:I60" si="23">+C59/C27</f>
        <v>#DIV/0!</v>
      </c>
      <c r="J59" s="262"/>
    </row>
    <row r="60" spans="1:17" ht="12" thickBot="1">
      <c r="A60" s="151" t="s">
        <v>186</v>
      </c>
      <c r="B60" s="152"/>
      <c r="C60" s="166" t="e">
        <f t="shared" si="22"/>
        <v>#DIV/0!</v>
      </c>
      <c r="D60" s="166">
        <f t="shared" si="22"/>
        <v>0</v>
      </c>
      <c r="E60" s="166" t="e">
        <f t="shared" si="22"/>
        <v>#DIV/0!</v>
      </c>
      <c r="F60" s="166">
        <f t="shared" si="22"/>
        <v>0</v>
      </c>
      <c r="G60" s="166">
        <f t="shared" si="22"/>
        <v>0</v>
      </c>
      <c r="H60" s="167" t="e">
        <f>SUM(C60:G60)</f>
        <v>#DIV/0!</v>
      </c>
      <c r="I60" s="177" t="e">
        <f t="shared" si="23"/>
        <v>#DIV/0!</v>
      </c>
      <c r="J60" s="262"/>
    </row>
    <row r="61" spans="1:17">
      <c r="Q61" s="460"/>
    </row>
    <row r="62" spans="1:17">
      <c r="I62" s="109"/>
      <c r="J62" s="109"/>
      <c r="Q62" s="460"/>
    </row>
    <row r="63" spans="1:17">
      <c r="Q63" s="460"/>
    </row>
    <row r="68" spans="5:18">
      <c r="P68" s="263">
        <f>'[5]Łączna emisja'!H10</f>
        <v>13.439977756616999</v>
      </c>
      <c r="Q68" s="263">
        <f>'[5]Łączna emisja'!I10</f>
        <v>85.270107759459009</v>
      </c>
      <c r="R68" s="263"/>
    </row>
    <row r="71" spans="5:18" ht="15">
      <c r="E71" s="461"/>
    </row>
    <row r="72" spans="5:18" ht="15">
      <c r="E72" s="461"/>
    </row>
    <row r="74" spans="5:18" ht="15">
      <c r="E74" s="461"/>
    </row>
    <row r="75" spans="5:18" ht="15">
      <c r="E75" s="462"/>
    </row>
    <row r="76" spans="5:18" ht="15">
      <c r="E76" s="462"/>
    </row>
    <row r="77" spans="5:18" ht="15">
      <c r="E77" s="461"/>
    </row>
  </sheetData>
  <mergeCells count="7">
    <mergeCell ref="K17:K19"/>
    <mergeCell ref="L17:R17"/>
    <mergeCell ref="L19:R19"/>
    <mergeCell ref="K3:K4"/>
    <mergeCell ref="L3:L4"/>
    <mergeCell ref="M3:S3"/>
    <mergeCell ref="K5:K7"/>
  </mergeCells>
  <pageMargins left="0.7" right="0.7" top="0.75" bottom="0.75" header="0.3" footer="0.3"/>
  <pageSetup paperSize="9" scale="93" orientation="portrait" r:id="rId1"/>
  <colBreaks count="1" manualBreakCount="1">
    <brk id="8" max="61" man="1"/>
  </col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A13"/>
  <sheetViews>
    <sheetView zoomScale="115" zoomScaleNormal="115" workbookViewId="0">
      <pane ySplit="2" topLeftCell="A11" activePane="bottomLeft" state="frozen"/>
      <selection pane="bottomLeft" activeCell="D11" sqref="D11"/>
    </sheetView>
  </sheetViews>
  <sheetFormatPr defaultRowHeight="14.25"/>
  <cols>
    <col min="1" max="1" width="10.5" customWidth="1"/>
    <col min="2" max="2" width="19.875" customWidth="1"/>
    <col min="3" max="3" width="11" style="582" customWidth="1"/>
    <col min="4" max="4" width="11.875" style="582" customWidth="1"/>
    <col min="5" max="5" width="6.5" customWidth="1"/>
    <col min="6" max="6" width="10.5" hidden="1" customWidth="1"/>
    <col min="7" max="7" width="8.875" hidden="1" customWidth="1"/>
    <col min="8" max="8" width="9.25" hidden="1" customWidth="1"/>
    <col min="9" max="12" width="6.375" hidden="1" customWidth="1"/>
    <col min="13" max="13" width="9" hidden="1" customWidth="1"/>
    <col min="14" max="14" width="8.875" hidden="1" customWidth="1"/>
    <col min="15" max="15" width="7.75" hidden="1" customWidth="1"/>
    <col min="16" max="16" width="3" customWidth="1"/>
    <col min="17" max="17" width="22.5" customWidth="1"/>
    <col min="18" max="18" width="15.75" customWidth="1"/>
    <col min="19" max="19" width="10.875" customWidth="1"/>
    <col min="21" max="21" width="12.5" hidden="1" customWidth="1"/>
    <col min="257" max="257" width="10.5" customWidth="1"/>
    <col min="258" max="258" width="16.75" customWidth="1"/>
    <col min="259" max="259" width="11" customWidth="1"/>
    <col min="260" max="260" width="9.875" customWidth="1"/>
    <col min="261" max="261" width="6.5" customWidth="1"/>
    <col min="262" max="271" width="0" hidden="1" customWidth="1"/>
    <col min="273" max="273" width="18" customWidth="1"/>
    <col min="274" max="274" width="15.75" customWidth="1"/>
    <col min="275" max="275" width="10.875" customWidth="1"/>
    <col min="277" max="277" width="12.5" customWidth="1"/>
    <col min="513" max="513" width="10.5" customWidth="1"/>
    <col min="514" max="514" width="16.75" customWidth="1"/>
    <col min="515" max="515" width="11" customWidth="1"/>
    <col min="516" max="516" width="9.875" customWidth="1"/>
    <col min="517" max="517" width="6.5" customWidth="1"/>
    <col min="518" max="527" width="0" hidden="1" customWidth="1"/>
    <col min="529" max="529" width="18" customWidth="1"/>
    <col min="530" max="530" width="15.75" customWidth="1"/>
    <col min="531" max="531" width="10.875" customWidth="1"/>
    <col min="533" max="533" width="12.5" customWidth="1"/>
    <col min="769" max="769" width="10.5" customWidth="1"/>
    <col min="770" max="770" width="16.75" customWidth="1"/>
    <col min="771" max="771" width="11" customWidth="1"/>
    <col min="772" max="772" width="9.875" customWidth="1"/>
    <col min="773" max="773" width="6.5" customWidth="1"/>
    <col min="774" max="783" width="0" hidden="1" customWidth="1"/>
    <col min="785" max="785" width="18" customWidth="1"/>
    <col min="786" max="786" width="15.75" customWidth="1"/>
    <col min="787" max="787" width="10.875" customWidth="1"/>
    <col min="789" max="789" width="12.5" customWidth="1"/>
    <col min="1025" max="1025" width="10.5" customWidth="1"/>
    <col min="1026" max="1026" width="16.75" customWidth="1"/>
    <col min="1027" max="1027" width="11" customWidth="1"/>
    <col min="1028" max="1028" width="9.875" customWidth="1"/>
    <col min="1029" max="1029" width="6.5" customWidth="1"/>
    <col min="1030" max="1039" width="0" hidden="1" customWidth="1"/>
    <col min="1041" max="1041" width="18" customWidth="1"/>
    <col min="1042" max="1042" width="15.75" customWidth="1"/>
    <col min="1043" max="1043" width="10.875" customWidth="1"/>
    <col min="1045" max="1045" width="12.5" customWidth="1"/>
    <col min="1281" max="1281" width="10.5" customWidth="1"/>
    <col min="1282" max="1282" width="16.75" customWidth="1"/>
    <col min="1283" max="1283" width="11" customWidth="1"/>
    <col min="1284" max="1284" width="9.875" customWidth="1"/>
    <col min="1285" max="1285" width="6.5" customWidth="1"/>
    <col min="1286" max="1295" width="0" hidden="1" customWidth="1"/>
    <col min="1297" max="1297" width="18" customWidth="1"/>
    <col min="1298" max="1298" width="15.75" customWidth="1"/>
    <col min="1299" max="1299" width="10.875" customWidth="1"/>
    <col min="1301" max="1301" width="12.5" customWidth="1"/>
    <col min="1537" max="1537" width="10.5" customWidth="1"/>
    <col min="1538" max="1538" width="16.75" customWidth="1"/>
    <col min="1539" max="1539" width="11" customWidth="1"/>
    <col min="1540" max="1540" width="9.875" customWidth="1"/>
    <col min="1541" max="1541" width="6.5" customWidth="1"/>
    <col min="1542" max="1551" width="0" hidden="1" customWidth="1"/>
    <col min="1553" max="1553" width="18" customWidth="1"/>
    <col min="1554" max="1554" width="15.75" customWidth="1"/>
    <col min="1555" max="1555" width="10.875" customWidth="1"/>
    <col min="1557" max="1557" width="12.5" customWidth="1"/>
    <col min="1793" max="1793" width="10.5" customWidth="1"/>
    <col min="1794" max="1794" width="16.75" customWidth="1"/>
    <col min="1795" max="1795" width="11" customWidth="1"/>
    <col min="1796" max="1796" width="9.875" customWidth="1"/>
    <col min="1797" max="1797" width="6.5" customWidth="1"/>
    <col min="1798" max="1807" width="0" hidden="1" customWidth="1"/>
    <col min="1809" max="1809" width="18" customWidth="1"/>
    <col min="1810" max="1810" width="15.75" customWidth="1"/>
    <col min="1811" max="1811" width="10.875" customWidth="1"/>
    <col min="1813" max="1813" width="12.5" customWidth="1"/>
    <col min="2049" max="2049" width="10.5" customWidth="1"/>
    <col min="2050" max="2050" width="16.75" customWidth="1"/>
    <col min="2051" max="2051" width="11" customWidth="1"/>
    <col min="2052" max="2052" width="9.875" customWidth="1"/>
    <col min="2053" max="2053" width="6.5" customWidth="1"/>
    <col min="2054" max="2063" width="0" hidden="1" customWidth="1"/>
    <col min="2065" max="2065" width="18" customWidth="1"/>
    <col min="2066" max="2066" width="15.75" customWidth="1"/>
    <col min="2067" max="2067" width="10.875" customWidth="1"/>
    <col min="2069" max="2069" width="12.5" customWidth="1"/>
    <col min="2305" max="2305" width="10.5" customWidth="1"/>
    <col min="2306" max="2306" width="16.75" customWidth="1"/>
    <col min="2307" max="2307" width="11" customWidth="1"/>
    <col min="2308" max="2308" width="9.875" customWidth="1"/>
    <col min="2309" max="2309" width="6.5" customWidth="1"/>
    <col min="2310" max="2319" width="0" hidden="1" customWidth="1"/>
    <col min="2321" max="2321" width="18" customWidth="1"/>
    <col min="2322" max="2322" width="15.75" customWidth="1"/>
    <col min="2323" max="2323" width="10.875" customWidth="1"/>
    <col min="2325" max="2325" width="12.5" customWidth="1"/>
    <col min="2561" max="2561" width="10.5" customWidth="1"/>
    <col min="2562" max="2562" width="16.75" customWidth="1"/>
    <col min="2563" max="2563" width="11" customWidth="1"/>
    <col min="2564" max="2564" width="9.875" customWidth="1"/>
    <col min="2565" max="2565" width="6.5" customWidth="1"/>
    <col min="2566" max="2575" width="0" hidden="1" customWidth="1"/>
    <col min="2577" max="2577" width="18" customWidth="1"/>
    <col min="2578" max="2578" width="15.75" customWidth="1"/>
    <col min="2579" max="2579" width="10.875" customWidth="1"/>
    <col min="2581" max="2581" width="12.5" customWidth="1"/>
    <col min="2817" max="2817" width="10.5" customWidth="1"/>
    <col min="2818" max="2818" width="16.75" customWidth="1"/>
    <col min="2819" max="2819" width="11" customWidth="1"/>
    <col min="2820" max="2820" width="9.875" customWidth="1"/>
    <col min="2821" max="2821" width="6.5" customWidth="1"/>
    <col min="2822" max="2831" width="0" hidden="1" customWidth="1"/>
    <col min="2833" max="2833" width="18" customWidth="1"/>
    <col min="2834" max="2834" width="15.75" customWidth="1"/>
    <col min="2835" max="2835" width="10.875" customWidth="1"/>
    <col min="2837" max="2837" width="12.5" customWidth="1"/>
    <col min="3073" max="3073" width="10.5" customWidth="1"/>
    <col min="3074" max="3074" width="16.75" customWidth="1"/>
    <col min="3075" max="3075" width="11" customWidth="1"/>
    <col min="3076" max="3076" width="9.875" customWidth="1"/>
    <col min="3077" max="3077" width="6.5" customWidth="1"/>
    <col min="3078" max="3087" width="0" hidden="1" customWidth="1"/>
    <col min="3089" max="3089" width="18" customWidth="1"/>
    <col min="3090" max="3090" width="15.75" customWidth="1"/>
    <col min="3091" max="3091" width="10.875" customWidth="1"/>
    <col min="3093" max="3093" width="12.5" customWidth="1"/>
    <col min="3329" max="3329" width="10.5" customWidth="1"/>
    <col min="3330" max="3330" width="16.75" customWidth="1"/>
    <col min="3331" max="3331" width="11" customWidth="1"/>
    <col min="3332" max="3332" width="9.875" customWidth="1"/>
    <col min="3333" max="3333" width="6.5" customWidth="1"/>
    <col min="3334" max="3343" width="0" hidden="1" customWidth="1"/>
    <col min="3345" max="3345" width="18" customWidth="1"/>
    <col min="3346" max="3346" width="15.75" customWidth="1"/>
    <col min="3347" max="3347" width="10.875" customWidth="1"/>
    <col min="3349" max="3349" width="12.5" customWidth="1"/>
    <col min="3585" max="3585" width="10.5" customWidth="1"/>
    <col min="3586" max="3586" width="16.75" customWidth="1"/>
    <col min="3587" max="3587" width="11" customWidth="1"/>
    <col min="3588" max="3588" width="9.875" customWidth="1"/>
    <col min="3589" max="3589" width="6.5" customWidth="1"/>
    <col min="3590" max="3599" width="0" hidden="1" customWidth="1"/>
    <col min="3601" max="3601" width="18" customWidth="1"/>
    <col min="3602" max="3602" width="15.75" customWidth="1"/>
    <col min="3603" max="3603" width="10.875" customWidth="1"/>
    <col min="3605" max="3605" width="12.5" customWidth="1"/>
    <col min="3841" max="3841" width="10.5" customWidth="1"/>
    <col min="3842" max="3842" width="16.75" customWidth="1"/>
    <col min="3843" max="3843" width="11" customWidth="1"/>
    <col min="3844" max="3844" width="9.875" customWidth="1"/>
    <col min="3845" max="3845" width="6.5" customWidth="1"/>
    <col min="3846" max="3855" width="0" hidden="1" customWidth="1"/>
    <col min="3857" max="3857" width="18" customWidth="1"/>
    <col min="3858" max="3858" width="15.75" customWidth="1"/>
    <col min="3859" max="3859" width="10.875" customWidth="1"/>
    <col min="3861" max="3861" width="12.5" customWidth="1"/>
    <col min="4097" max="4097" width="10.5" customWidth="1"/>
    <col min="4098" max="4098" width="16.75" customWidth="1"/>
    <col min="4099" max="4099" width="11" customWidth="1"/>
    <col min="4100" max="4100" width="9.875" customWidth="1"/>
    <col min="4101" max="4101" width="6.5" customWidth="1"/>
    <col min="4102" max="4111" width="0" hidden="1" customWidth="1"/>
    <col min="4113" max="4113" width="18" customWidth="1"/>
    <col min="4114" max="4114" width="15.75" customWidth="1"/>
    <col min="4115" max="4115" width="10.875" customWidth="1"/>
    <col min="4117" max="4117" width="12.5" customWidth="1"/>
    <col min="4353" max="4353" width="10.5" customWidth="1"/>
    <col min="4354" max="4354" width="16.75" customWidth="1"/>
    <col min="4355" max="4355" width="11" customWidth="1"/>
    <col min="4356" max="4356" width="9.875" customWidth="1"/>
    <col min="4357" max="4357" width="6.5" customWidth="1"/>
    <col min="4358" max="4367" width="0" hidden="1" customWidth="1"/>
    <col min="4369" max="4369" width="18" customWidth="1"/>
    <col min="4370" max="4370" width="15.75" customWidth="1"/>
    <col min="4371" max="4371" width="10.875" customWidth="1"/>
    <col min="4373" max="4373" width="12.5" customWidth="1"/>
    <col min="4609" max="4609" width="10.5" customWidth="1"/>
    <col min="4610" max="4610" width="16.75" customWidth="1"/>
    <col min="4611" max="4611" width="11" customWidth="1"/>
    <col min="4612" max="4612" width="9.875" customWidth="1"/>
    <col min="4613" max="4613" width="6.5" customWidth="1"/>
    <col min="4614" max="4623" width="0" hidden="1" customWidth="1"/>
    <col min="4625" max="4625" width="18" customWidth="1"/>
    <col min="4626" max="4626" width="15.75" customWidth="1"/>
    <col min="4627" max="4627" width="10.875" customWidth="1"/>
    <col min="4629" max="4629" width="12.5" customWidth="1"/>
    <col min="4865" max="4865" width="10.5" customWidth="1"/>
    <col min="4866" max="4866" width="16.75" customWidth="1"/>
    <col min="4867" max="4867" width="11" customWidth="1"/>
    <col min="4868" max="4868" width="9.875" customWidth="1"/>
    <col min="4869" max="4869" width="6.5" customWidth="1"/>
    <col min="4870" max="4879" width="0" hidden="1" customWidth="1"/>
    <col min="4881" max="4881" width="18" customWidth="1"/>
    <col min="4882" max="4882" width="15.75" customWidth="1"/>
    <col min="4883" max="4883" width="10.875" customWidth="1"/>
    <col min="4885" max="4885" width="12.5" customWidth="1"/>
    <col min="5121" max="5121" width="10.5" customWidth="1"/>
    <col min="5122" max="5122" width="16.75" customWidth="1"/>
    <col min="5123" max="5123" width="11" customWidth="1"/>
    <col min="5124" max="5124" width="9.875" customWidth="1"/>
    <col min="5125" max="5125" width="6.5" customWidth="1"/>
    <col min="5126" max="5135" width="0" hidden="1" customWidth="1"/>
    <col min="5137" max="5137" width="18" customWidth="1"/>
    <col min="5138" max="5138" width="15.75" customWidth="1"/>
    <col min="5139" max="5139" width="10.875" customWidth="1"/>
    <col min="5141" max="5141" width="12.5" customWidth="1"/>
    <col min="5377" max="5377" width="10.5" customWidth="1"/>
    <col min="5378" max="5378" width="16.75" customWidth="1"/>
    <col min="5379" max="5379" width="11" customWidth="1"/>
    <col min="5380" max="5380" width="9.875" customWidth="1"/>
    <col min="5381" max="5381" width="6.5" customWidth="1"/>
    <col min="5382" max="5391" width="0" hidden="1" customWidth="1"/>
    <col min="5393" max="5393" width="18" customWidth="1"/>
    <col min="5394" max="5394" width="15.75" customWidth="1"/>
    <col min="5395" max="5395" width="10.875" customWidth="1"/>
    <col min="5397" max="5397" width="12.5" customWidth="1"/>
    <col min="5633" max="5633" width="10.5" customWidth="1"/>
    <col min="5634" max="5634" width="16.75" customWidth="1"/>
    <col min="5635" max="5635" width="11" customWidth="1"/>
    <col min="5636" max="5636" width="9.875" customWidth="1"/>
    <col min="5637" max="5637" width="6.5" customWidth="1"/>
    <col min="5638" max="5647" width="0" hidden="1" customWidth="1"/>
    <col min="5649" max="5649" width="18" customWidth="1"/>
    <col min="5650" max="5650" width="15.75" customWidth="1"/>
    <col min="5651" max="5651" width="10.875" customWidth="1"/>
    <col min="5653" max="5653" width="12.5" customWidth="1"/>
    <col min="5889" max="5889" width="10.5" customWidth="1"/>
    <col min="5890" max="5890" width="16.75" customWidth="1"/>
    <col min="5891" max="5891" width="11" customWidth="1"/>
    <col min="5892" max="5892" width="9.875" customWidth="1"/>
    <col min="5893" max="5893" width="6.5" customWidth="1"/>
    <col min="5894" max="5903" width="0" hidden="1" customWidth="1"/>
    <col min="5905" max="5905" width="18" customWidth="1"/>
    <col min="5906" max="5906" width="15.75" customWidth="1"/>
    <col min="5907" max="5907" width="10.875" customWidth="1"/>
    <col min="5909" max="5909" width="12.5" customWidth="1"/>
    <col min="6145" max="6145" width="10.5" customWidth="1"/>
    <col min="6146" max="6146" width="16.75" customWidth="1"/>
    <col min="6147" max="6147" width="11" customWidth="1"/>
    <col min="6148" max="6148" width="9.875" customWidth="1"/>
    <col min="6149" max="6149" width="6.5" customWidth="1"/>
    <col min="6150" max="6159" width="0" hidden="1" customWidth="1"/>
    <col min="6161" max="6161" width="18" customWidth="1"/>
    <col min="6162" max="6162" width="15.75" customWidth="1"/>
    <col min="6163" max="6163" width="10.875" customWidth="1"/>
    <col min="6165" max="6165" width="12.5" customWidth="1"/>
    <col min="6401" max="6401" width="10.5" customWidth="1"/>
    <col min="6402" max="6402" width="16.75" customWidth="1"/>
    <col min="6403" max="6403" width="11" customWidth="1"/>
    <col min="6404" max="6404" width="9.875" customWidth="1"/>
    <col min="6405" max="6405" width="6.5" customWidth="1"/>
    <col min="6406" max="6415" width="0" hidden="1" customWidth="1"/>
    <col min="6417" max="6417" width="18" customWidth="1"/>
    <col min="6418" max="6418" width="15.75" customWidth="1"/>
    <col min="6419" max="6419" width="10.875" customWidth="1"/>
    <col min="6421" max="6421" width="12.5" customWidth="1"/>
    <col min="6657" max="6657" width="10.5" customWidth="1"/>
    <col min="6658" max="6658" width="16.75" customWidth="1"/>
    <col min="6659" max="6659" width="11" customWidth="1"/>
    <col min="6660" max="6660" width="9.875" customWidth="1"/>
    <col min="6661" max="6661" width="6.5" customWidth="1"/>
    <col min="6662" max="6671" width="0" hidden="1" customWidth="1"/>
    <col min="6673" max="6673" width="18" customWidth="1"/>
    <col min="6674" max="6674" width="15.75" customWidth="1"/>
    <col min="6675" max="6675" width="10.875" customWidth="1"/>
    <col min="6677" max="6677" width="12.5" customWidth="1"/>
    <col min="6913" max="6913" width="10.5" customWidth="1"/>
    <col min="6914" max="6914" width="16.75" customWidth="1"/>
    <col min="6915" max="6915" width="11" customWidth="1"/>
    <col min="6916" max="6916" width="9.875" customWidth="1"/>
    <col min="6917" max="6917" width="6.5" customWidth="1"/>
    <col min="6918" max="6927" width="0" hidden="1" customWidth="1"/>
    <col min="6929" max="6929" width="18" customWidth="1"/>
    <col min="6930" max="6930" width="15.75" customWidth="1"/>
    <col min="6931" max="6931" width="10.875" customWidth="1"/>
    <col min="6933" max="6933" width="12.5" customWidth="1"/>
    <col min="7169" max="7169" width="10.5" customWidth="1"/>
    <col min="7170" max="7170" width="16.75" customWidth="1"/>
    <col min="7171" max="7171" width="11" customWidth="1"/>
    <col min="7172" max="7172" width="9.875" customWidth="1"/>
    <col min="7173" max="7173" width="6.5" customWidth="1"/>
    <col min="7174" max="7183" width="0" hidden="1" customWidth="1"/>
    <col min="7185" max="7185" width="18" customWidth="1"/>
    <col min="7186" max="7186" width="15.75" customWidth="1"/>
    <col min="7187" max="7187" width="10.875" customWidth="1"/>
    <col min="7189" max="7189" width="12.5" customWidth="1"/>
    <col min="7425" max="7425" width="10.5" customWidth="1"/>
    <col min="7426" max="7426" width="16.75" customWidth="1"/>
    <col min="7427" max="7427" width="11" customWidth="1"/>
    <col min="7428" max="7428" width="9.875" customWidth="1"/>
    <col min="7429" max="7429" width="6.5" customWidth="1"/>
    <col min="7430" max="7439" width="0" hidden="1" customWidth="1"/>
    <col min="7441" max="7441" width="18" customWidth="1"/>
    <col min="7442" max="7442" width="15.75" customWidth="1"/>
    <col min="7443" max="7443" width="10.875" customWidth="1"/>
    <col min="7445" max="7445" width="12.5" customWidth="1"/>
    <col min="7681" max="7681" width="10.5" customWidth="1"/>
    <col min="7682" max="7682" width="16.75" customWidth="1"/>
    <col min="7683" max="7683" width="11" customWidth="1"/>
    <col min="7684" max="7684" width="9.875" customWidth="1"/>
    <col min="7685" max="7685" width="6.5" customWidth="1"/>
    <col min="7686" max="7695" width="0" hidden="1" customWidth="1"/>
    <col min="7697" max="7697" width="18" customWidth="1"/>
    <col min="7698" max="7698" width="15.75" customWidth="1"/>
    <col min="7699" max="7699" width="10.875" customWidth="1"/>
    <col min="7701" max="7701" width="12.5" customWidth="1"/>
    <col min="7937" max="7937" width="10.5" customWidth="1"/>
    <col min="7938" max="7938" width="16.75" customWidth="1"/>
    <col min="7939" max="7939" width="11" customWidth="1"/>
    <col min="7940" max="7940" width="9.875" customWidth="1"/>
    <col min="7941" max="7941" width="6.5" customWidth="1"/>
    <col min="7942" max="7951" width="0" hidden="1" customWidth="1"/>
    <col min="7953" max="7953" width="18" customWidth="1"/>
    <col min="7954" max="7954" width="15.75" customWidth="1"/>
    <col min="7955" max="7955" width="10.875" customWidth="1"/>
    <col min="7957" max="7957" width="12.5" customWidth="1"/>
    <col min="8193" max="8193" width="10.5" customWidth="1"/>
    <col min="8194" max="8194" width="16.75" customWidth="1"/>
    <col min="8195" max="8195" width="11" customWidth="1"/>
    <col min="8196" max="8196" width="9.875" customWidth="1"/>
    <col min="8197" max="8197" width="6.5" customWidth="1"/>
    <col min="8198" max="8207" width="0" hidden="1" customWidth="1"/>
    <col min="8209" max="8209" width="18" customWidth="1"/>
    <col min="8210" max="8210" width="15.75" customWidth="1"/>
    <col min="8211" max="8211" width="10.875" customWidth="1"/>
    <col min="8213" max="8213" width="12.5" customWidth="1"/>
    <col min="8449" max="8449" width="10.5" customWidth="1"/>
    <col min="8450" max="8450" width="16.75" customWidth="1"/>
    <col min="8451" max="8451" width="11" customWidth="1"/>
    <col min="8452" max="8452" width="9.875" customWidth="1"/>
    <col min="8453" max="8453" width="6.5" customWidth="1"/>
    <col min="8454" max="8463" width="0" hidden="1" customWidth="1"/>
    <col min="8465" max="8465" width="18" customWidth="1"/>
    <col min="8466" max="8466" width="15.75" customWidth="1"/>
    <col min="8467" max="8467" width="10.875" customWidth="1"/>
    <col min="8469" max="8469" width="12.5" customWidth="1"/>
    <col min="8705" max="8705" width="10.5" customWidth="1"/>
    <col min="8706" max="8706" width="16.75" customWidth="1"/>
    <col min="8707" max="8707" width="11" customWidth="1"/>
    <col min="8708" max="8708" width="9.875" customWidth="1"/>
    <col min="8709" max="8709" width="6.5" customWidth="1"/>
    <col min="8710" max="8719" width="0" hidden="1" customWidth="1"/>
    <col min="8721" max="8721" width="18" customWidth="1"/>
    <col min="8722" max="8722" width="15.75" customWidth="1"/>
    <col min="8723" max="8723" width="10.875" customWidth="1"/>
    <col min="8725" max="8725" width="12.5" customWidth="1"/>
    <col min="8961" max="8961" width="10.5" customWidth="1"/>
    <col min="8962" max="8962" width="16.75" customWidth="1"/>
    <col min="8963" max="8963" width="11" customWidth="1"/>
    <col min="8964" max="8964" width="9.875" customWidth="1"/>
    <col min="8965" max="8965" width="6.5" customWidth="1"/>
    <col min="8966" max="8975" width="0" hidden="1" customWidth="1"/>
    <col min="8977" max="8977" width="18" customWidth="1"/>
    <col min="8978" max="8978" width="15.75" customWidth="1"/>
    <col min="8979" max="8979" width="10.875" customWidth="1"/>
    <col min="8981" max="8981" width="12.5" customWidth="1"/>
    <col min="9217" max="9217" width="10.5" customWidth="1"/>
    <col min="9218" max="9218" width="16.75" customWidth="1"/>
    <col min="9219" max="9219" width="11" customWidth="1"/>
    <col min="9220" max="9220" width="9.875" customWidth="1"/>
    <col min="9221" max="9221" width="6.5" customWidth="1"/>
    <col min="9222" max="9231" width="0" hidden="1" customWidth="1"/>
    <col min="9233" max="9233" width="18" customWidth="1"/>
    <col min="9234" max="9234" width="15.75" customWidth="1"/>
    <col min="9235" max="9235" width="10.875" customWidth="1"/>
    <col min="9237" max="9237" width="12.5" customWidth="1"/>
    <col min="9473" max="9473" width="10.5" customWidth="1"/>
    <col min="9474" max="9474" width="16.75" customWidth="1"/>
    <col min="9475" max="9475" width="11" customWidth="1"/>
    <col min="9476" max="9476" width="9.875" customWidth="1"/>
    <col min="9477" max="9477" width="6.5" customWidth="1"/>
    <col min="9478" max="9487" width="0" hidden="1" customWidth="1"/>
    <col min="9489" max="9489" width="18" customWidth="1"/>
    <col min="9490" max="9490" width="15.75" customWidth="1"/>
    <col min="9491" max="9491" width="10.875" customWidth="1"/>
    <col min="9493" max="9493" width="12.5" customWidth="1"/>
    <col min="9729" max="9729" width="10.5" customWidth="1"/>
    <col min="9730" max="9730" width="16.75" customWidth="1"/>
    <col min="9731" max="9731" width="11" customWidth="1"/>
    <col min="9732" max="9732" width="9.875" customWidth="1"/>
    <col min="9733" max="9733" width="6.5" customWidth="1"/>
    <col min="9734" max="9743" width="0" hidden="1" customWidth="1"/>
    <col min="9745" max="9745" width="18" customWidth="1"/>
    <col min="9746" max="9746" width="15.75" customWidth="1"/>
    <col min="9747" max="9747" width="10.875" customWidth="1"/>
    <col min="9749" max="9749" width="12.5" customWidth="1"/>
    <col min="9985" max="9985" width="10.5" customWidth="1"/>
    <col min="9986" max="9986" width="16.75" customWidth="1"/>
    <col min="9987" max="9987" width="11" customWidth="1"/>
    <col min="9988" max="9988" width="9.875" customWidth="1"/>
    <col min="9989" max="9989" width="6.5" customWidth="1"/>
    <col min="9990" max="9999" width="0" hidden="1" customWidth="1"/>
    <col min="10001" max="10001" width="18" customWidth="1"/>
    <col min="10002" max="10002" width="15.75" customWidth="1"/>
    <col min="10003" max="10003" width="10.875" customWidth="1"/>
    <col min="10005" max="10005" width="12.5" customWidth="1"/>
    <col min="10241" max="10241" width="10.5" customWidth="1"/>
    <col min="10242" max="10242" width="16.75" customWidth="1"/>
    <col min="10243" max="10243" width="11" customWidth="1"/>
    <col min="10244" max="10244" width="9.875" customWidth="1"/>
    <col min="10245" max="10245" width="6.5" customWidth="1"/>
    <col min="10246" max="10255" width="0" hidden="1" customWidth="1"/>
    <col min="10257" max="10257" width="18" customWidth="1"/>
    <col min="10258" max="10258" width="15.75" customWidth="1"/>
    <col min="10259" max="10259" width="10.875" customWidth="1"/>
    <col min="10261" max="10261" width="12.5" customWidth="1"/>
    <col min="10497" max="10497" width="10.5" customWidth="1"/>
    <col min="10498" max="10498" width="16.75" customWidth="1"/>
    <col min="10499" max="10499" width="11" customWidth="1"/>
    <col min="10500" max="10500" width="9.875" customWidth="1"/>
    <col min="10501" max="10501" width="6.5" customWidth="1"/>
    <col min="10502" max="10511" width="0" hidden="1" customWidth="1"/>
    <col min="10513" max="10513" width="18" customWidth="1"/>
    <col min="10514" max="10514" width="15.75" customWidth="1"/>
    <col min="10515" max="10515" width="10.875" customWidth="1"/>
    <col min="10517" max="10517" width="12.5" customWidth="1"/>
    <col min="10753" max="10753" width="10.5" customWidth="1"/>
    <col min="10754" max="10754" width="16.75" customWidth="1"/>
    <col min="10755" max="10755" width="11" customWidth="1"/>
    <col min="10756" max="10756" width="9.875" customWidth="1"/>
    <col min="10757" max="10757" width="6.5" customWidth="1"/>
    <col min="10758" max="10767" width="0" hidden="1" customWidth="1"/>
    <col min="10769" max="10769" width="18" customWidth="1"/>
    <col min="10770" max="10770" width="15.75" customWidth="1"/>
    <col min="10771" max="10771" width="10.875" customWidth="1"/>
    <col min="10773" max="10773" width="12.5" customWidth="1"/>
    <col min="11009" max="11009" width="10.5" customWidth="1"/>
    <col min="11010" max="11010" width="16.75" customWidth="1"/>
    <col min="11011" max="11011" width="11" customWidth="1"/>
    <col min="11012" max="11012" width="9.875" customWidth="1"/>
    <col min="11013" max="11013" width="6.5" customWidth="1"/>
    <col min="11014" max="11023" width="0" hidden="1" customWidth="1"/>
    <col min="11025" max="11025" width="18" customWidth="1"/>
    <col min="11026" max="11026" width="15.75" customWidth="1"/>
    <col min="11027" max="11027" width="10.875" customWidth="1"/>
    <col min="11029" max="11029" width="12.5" customWidth="1"/>
    <col min="11265" max="11265" width="10.5" customWidth="1"/>
    <col min="11266" max="11266" width="16.75" customWidth="1"/>
    <col min="11267" max="11267" width="11" customWidth="1"/>
    <col min="11268" max="11268" width="9.875" customWidth="1"/>
    <col min="11269" max="11269" width="6.5" customWidth="1"/>
    <col min="11270" max="11279" width="0" hidden="1" customWidth="1"/>
    <col min="11281" max="11281" width="18" customWidth="1"/>
    <col min="11282" max="11282" width="15.75" customWidth="1"/>
    <col min="11283" max="11283" width="10.875" customWidth="1"/>
    <col min="11285" max="11285" width="12.5" customWidth="1"/>
    <col min="11521" max="11521" width="10.5" customWidth="1"/>
    <col min="11522" max="11522" width="16.75" customWidth="1"/>
    <col min="11523" max="11523" width="11" customWidth="1"/>
    <col min="11524" max="11524" width="9.875" customWidth="1"/>
    <col min="11525" max="11525" width="6.5" customWidth="1"/>
    <col min="11526" max="11535" width="0" hidden="1" customWidth="1"/>
    <col min="11537" max="11537" width="18" customWidth="1"/>
    <col min="11538" max="11538" width="15.75" customWidth="1"/>
    <col min="11539" max="11539" width="10.875" customWidth="1"/>
    <col min="11541" max="11541" width="12.5" customWidth="1"/>
    <col min="11777" max="11777" width="10.5" customWidth="1"/>
    <col min="11778" max="11778" width="16.75" customWidth="1"/>
    <col min="11779" max="11779" width="11" customWidth="1"/>
    <col min="11780" max="11780" width="9.875" customWidth="1"/>
    <col min="11781" max="11781" width="6.5" customWidth="1"/>
    <col min="11782" max="11791" width="0" hidden="1" customWidth="1"/>
    <col min="11793" max="11793" width="18" customWidth="1"/>
    <col min="11794" max="11794" width="15.75" customWidth="1"/>
    <col min="11795" max="11795" width="10.875" customWidth="1"/>
    <col min="11797" max="11797" width="12.5" customWidth="1"/>
    <col min="12033" max="12033" width="10.5" customWidth="1"/>
    <col min="12034" max="12034" width="16.75" customWidth="1"/>
    <col min="12035" max="12035" width="11" customWidth="1"/>
    <col min="12036" max="12036" width="9.875" customWidth="1"/>
    <col min="12037" max="12037" width="6.5" customWidth="1"/>
    <col min="12038" max="12047" width="0" hidden="1" customWidth="1"/>
    <col min="12049" max="12049" width="18" customWidth="1"/>
    <col min="12050" max="12050" width="15.75" customWidth="1"/>
    <col min="12051" max="12051" width="10.875" customWidth="1"/>
    <col min="12053" max="12053" width="12.5" customWidth="1"/>
    <col min="12289" max="12289" width="10.5" customWidth="1"/>
    <col min="12290" max="12290" width="16.75" customWidth="1"/>
    <col min="12291" max="12291" width="11" customWidth="1"/>
    <col min="12292" max="12292" width="9.875" customWidth="1"/>
    <col min="12293" max="12293" width="6.5" customWidth="1"/>
    <col min="12294" max="12303" width="0" hidden="1" customWidth="1"/>
    <col min="12305" max="12305" width="18" customWidth="1"/>
    <col min="12306" max="12306" width="15.75" customWidth="1"/>
    <col min="12307" max="12307" width="10.875" customWidth="1"/>
    <col min="12309" max="12309" width="12.5" customWidth="1"/>
    <col min="12545" max="12545" width="10.5" customWidth="1"/>
    <col min="12546" max="12546" width="16.75" customWidth="1"/>
    <col min="12547" max="12547" width="11" customWidth="1"/>
    <col min="12548" max="12548" width="9.875" customWidth="1"/>
    <col min="12549" max="12549" width="6.5" customWidth="1"/>
    <col min="12550" max="12559" width="0" hidden="1" customWidth="1"/>
    <col min="12561" max="12561" width="18" customWidth="1"/>
    <col min="12562" max="12562" width="15.75" customWidth="1"/>
    <col min="12563" max="12563" width="10.875" customWidth="1"/>
    <col min="12565" max="12565" width="12.5" customWidth="1"/>
    <col min="12801" max="12801" width="10.5" customWidth="1"/>
    <col min="12802" max="12802" width="16.75" customWidth="1"/>
    <col min="12803" max="12803" width="11" customWidth="1"/>
    <col min="12804" max="12804" width="9.875" customWidth="1"/>
    <col min="12805" max="12805" width="6.5" customWidth="1"/>
    <col min="12806" max="12815" width="0" hidden="1" customWidth="1"/>
    <col min="12817" max="12817" width="18" customWidth="1"/>
    <col min="12818" max="12818" width="15.75" customWidth="1"/>
    <col min="12819" max="12819" width="10.875" customWidth="1"/>
    <col min="12821" max="12821" width="12.5" customWidth="1"/>
    <col min="13057" max="13057" width="10.5" customWidth="1"/>
    <col min="13058" max="13058" width="16.75" customWidth="1"/>
    <col min="13059" max="13059" width="11" customWidth="1"/>
    <col min="13060" max="13060" width="9.875" customWidth="1"/>
    <col min="13061" max="13061" width="6.5" customWidth="1"/>
    <col min="13062" max="13071" width="0" hidden="1" customWidth="1"/>
    <col min="13073" max="13073" width="18" customWidth="1"/>
    <col min="13074" max="13074" width="15.75" customWidth="1"/>
    <col min="13075" max="13075" width="10.875" customWidth="1"/>
    <col min="13077" max="13077" width="12.5" customWidth="1"/>
    <col min="13313" max="13313" width="10.5" customWidth="1"/>
    <col min="13314" max="13314" width="16.75" customWidth="1"/>
    <col min="13315" max="13315" width="11" customWidth="1"/>
    <col min="13316" max="13316" width="9.875" customWidth="1"/>
    <col min="13317" max="13317" width="6.5" customWidth="1"/>
    <col min="13318" max="13327" width="0" hidden="1" customWidth="1"/>
    <col min="13329" max="13329" width="18" customWidth="1"/>
    <col min="13330" max="13330" width="15.75" customWidth="1"/>
    <col min="13331" max="13331" width="10.875" customWidth="1"/>
    <col min="13333" max="13333" width="12.5" customWidth="1"/>
    <col min="13569" max="13569" width="10.5" customWidth="1"/>
    <col min="13570" max="13570" width="16.75" customWidth="1"/>
    <col min="13571" max="13571" width="11" customWidth="1"/>
    <col min="13572" max="13572" width="9.875" customWidth="1"/>
    <col min="13573" max="13573" width="6.5" customWidth="1"/>
    <col min="13574" max="13583" width="0" hidden="1" customWidth="1"/>
    <col min="13585" max="13585" width="18" customWidth="1"/>
    <col min="13586" max="13586" width="15.75" customWidth="1"/>
    <col min="13587" max="13587" width="10.875" customWidth="1"/>
    <col min="13589" max="13589" width="12.5" customWidth="1"/>
    <col min="13825" max="13825" width="10.5" customWidth="1"/>
    <col min="13826" max="13826" width="16.75" customWidth="1"/>
    <col min="13827" max="13827" width="11" customWidth="1"/>
    <col min="13828" max="13828" width="9.875" customWidth="1"/>
    <col min="13829" max="13829" width="6.5" customWidth="1"/>
    <col min="13830" max="13839" width="0" hidden="1" customWidth="1"/>
    <col min="13841" max="13841" width="18" customWidth="1"/>
    <col min="13842" max="13842" width="15.75" customWidth="1"/>
    <col min="13843" max="13843" width="10.875" customWidth="1"/>
    <col min="13845" max="13845" width="12.5" customWidth="1"/>
    <col min="14081" max="14081" width="10.5" customWidth="1"/>
    <col min="14082" max="14082" width="16.75" customWidth="1"/>
    <col min="14083" max="14083" width="11" customWidth="1"/>
    <col min="14084" max="14084" width="9.875" customWidth="1"/>
    <col min="14085" max="14085" width="6.5" customWidth="1"/>
    <col min="14086" max="14095" width="0" hidden="1" customWidth="1"/>
    <col min="14097" max="14097" width="18" customWidth="1"/>
    <col min="14098" max="14098" width="15.75" customWidth="1"/>
    <col min="14099" max="14099" width="10.875" customWidth="1"/>
    <col min="14101" max="14101" width="12.5" customWidth="1"/>
    <col min="14337" max="14337" width="10.5" customWidth="1"/>
    <col min="14338" max="14338" width="16.75" customWidth="1"/>
    <col min="14339" max="14339" width="11" customWidth="1"/>
    <col min="14340" max="14340" width="9.875" customWidth="1"/>
    <col min="14341" max="14341" width="6.5" customWidth="1"/>
    <col min="14342" max="14351" width="0" hidden="1" customWidth="1"/>
    <col min="14353" max="14353" width="18" customWidth="1"/>
    <col min="14354" max="14354" width="15.75" customWidth="1"/>
    <col min="14355" max="14355" width="10.875" customWidth="1"/>
    <col min="14357" max="14357" width="12.5" customWidth="1"/>
    <col min="14593" max="14593" width="10.5" customWidth="1"/>
    <col min="14594" max="14594" width="16.75" customWidth="1"/>
    <col min="14595" max="14595" width="11" customWidth="1"/>
    <col min="14596" max="14596" width="9.875" customWidth="1"/>
    <col min="14597" max="14597" width="6.5" customWidth="1"/>
    <col min="14598" max="14607" width="0" hidden="1" customWidth="1"/>
    <col min="14609" max="14609" width="18" customWidth="1"/>
    <col min="14610" max="14610" width="15.75" customWidth="1"/>
    <col min="14611" max="14611" width="10.875" customWidth="1"/>
    <col min="14613" max="14613" width="12.5" customWidth="1"/>
    <col min="14849" max="14849" width="10.5" customWidth="1"/>
    <col min="14850" max="14850" width="16.75" customWidth="1"/>
    <col min="14851" max="14851" width="11" customWidth="1"/>
    <col min="14852" max="14852" width="9.875" customWidth="1"/>
    <col min="14853" max="14853" width="6.5" customWidth="1"/>
    <col min="14854" max="14863" width="0" hidden="1" customWidth="1"/>
    <col min="14865" max="14865" width="18" customWidth="1"/>
    <col min="14866" max="14866" width="15.75" customWidth="1"/>
    <col min="14867" max="14867" width="10.875" customWidth="1"/>
    <col min="14869" max="14869" width="12.5" customWidth="1"/>
    <col min="15105" max="15105" width="10.5" customWidth="1"/>
    <col min="15106" max="15106" width="16.75" customWidth="1"/>
    <col min="15107" max="15107" width="11" customWidth="1"/>
    <col min="15108" max="15108" width="9.875" customWidth="1"/>
    <col min="15109" max="15109" width="6.5" customWidth="1"/>
    <col min="15110" max="15119" width="0" hidden="1" customWidth="1"/>
    <col min="15121" max="15121" width="18" customWidth="1"/>
    <col min="15122" max="15122" width="15.75" customWidth="1"/>
    <col min="15123" max="15123" width="10.875" customWidth="1"/>
    <col min="15125" max="15125" width="12.5" customWidth="1"/>
    <col min="15361" max="15361" width="10.5" customWidth="1"/>
    <col min="15362" max="15362" width="16.75" customWidth="1"/>
    <col min="15363" max="15363" width="11" customWidth="1"/>
    <col min="15364" max="15364" width="9.875" customWidth="1"/>
    <col min="15365" max="15365" width="6.5" customWidth="1"/>
    <col min="15366" max="15375" width="0" hidden="1" customWidth="1"/>
    <col min="15377" max="15377" width="18" customWidth="1"/>
    <col min="15378" max="15378" width="15.75" customWidth="1"/>
    <col min="15379" max="15379" width="10.875" customWidth="1"/>
    <col min="15381" max="15381" width="12.5" customWidth="1"/>
    <col min="15617" max="15617" width="10.5" customWidth="1"/>
    <col min="15618" max="15618" width="16.75" customWidth="1"/>
    <col min="15619" max="15619" width="11" customWidth="1"/>
    <col min="15620" max="15620" width="9.875" customWidth="1"/>
    <col min="15621" max="15621" width="6.5" customWidth="1"/>
    <col min="15622" max="15631" width="0" hidden="1" customWidth="1"/>
    <col min="15633" max="15633" width="18" customWidth="1"/>
    <col min="15634" max="15634" width="15.75" customWidth="1"/>
    <col min="15635" max="15635" width="10.875" customWidth="1"/>
    <col min="15637" max="15637" width="12.5" customWidth="1"/>
    <col min="15873" max="15873" width="10.5" customWidth="1"/>
    <col min="15874" max="15874" width="16.75" customWidth="1"/>
    <col min="15875" max="15875" width="11" customWidth="1"/>
    <col min="15876" max="15876" width="9.875" customWidth="1"/>
    <col min="15877" max="15877" width="6.5" customWidth="1"/>
    <col min="15878" max="15887" width="0" hidden="1" customWidth="1"/>
    <col min="15889" max="15889" width="18" customWidth="1"/>
    <col min="15890" max="15890" width="15.75" customWidth="1"/>
    <col min="15891" max="15891" width="10.875" customWidth="1"/>
    <col min="15893" max="15893" width="12.5" customWidth="1"/>
    <col min="16129" max="16129" width="10.5" customWidth="1"/>
    <col min="16130" max="16130" width="16.75" customWidth="1"/>
    <col min="16131" max="16131" width="11" customWidth="1"/>
    <col min="16132" max="16132" width="9.875" customWidth="1"/>
    <col min="16133" max="16133" width="6.5" customWidth="1"/>
    <col min="16134" max="16143" width="0" hidden="1" customWidth="1"/>
    <col min="16145" max="16145" width="18" customWidth="1"/>
    <col min="16146" max="16146" width="15.75" customWidth="1"/>
    <col min="16147" max="16147" width="10.875" customWidth="1"/>
    <col min="16149" max="16149" width="12.5" customWidth="1"/>
  </cols>
  <sheetData>
    <row r="1" spans="1:27" ht="15" thickBot="1">
      <c r="A1" s="846" t="s">
        <v>582</v>
      </c>
      <c r="B1" s="847"/>
      <c r="C1" s="847"/>
      <c r="D1" s="847"/>
      <c r="E1" s="848"/>
      <c r="F1" s="849" t="s">
        <v>582</v>
      </c>
      <c r="G1" s="850"/>
      <c r="H1" s="850"/>
      <c r="I1" s="850"/>
      <c r="J1" s="850"/>
      <c r="K1" s="850"/>
      <c r="L1" s="850"/>
      <c r="M1" s="850"/>
      <c r="N1" s="850"/>
      <c r="O1" s="850"/>
      <c r="Q1" s="844" t="s">
        <v>657</v>
      </c>
      <c r="R1" s="845"/>
      <c r="S1" s="845"/>
      <c r="T1" s="845"/>
      <c r="U1" s="845"/>
      <c r="V1" s="845"/>
      <c r="W1" s="845"/>
      <c r="X1" s="845"/>
      <c r="Y1" s="845"/>
      <c r="Z1" s="845"/>
      <c r="AA1" s="845"/>
    </row>
    <row r="2" spans="1:27" ht="57" thickBot="1">
      <c r="A2" s="610" t="s">
        <v>136</v>
      </c>
      <c r="B2" s="611" t="s">
        <v>583</v>
      </c>
      <c r="C2" s="611" t="s">
        <v>572</v>
      </c>
      <c r="D2" s="611" t="s">
        <v>584</v>
      </c>
      <c r="E2" s="612" t="s">
        <v>573</v>
      </c>
      <c r="F2" s="611" t="s">
        <v>585</v>
      </c>
      <c r="G2" s="611" t="s">
        <v>586</v>
      </c>
      <c r="H2" s="611" t="s">
        <v>587</v>
      </c>
      <c r="I2" s="611" t="s">
        <v>589</v>
      </c>
      <c r="J2" s="611" t="s">
        <v>590</v>
      </c>
      <c r="K2" s="611" t="s">
        <v>588</v>
      </c>
      <c r="L2" s="611" t="s">
        <v>591</v>
      </c>
      <c r="M2" s="611" t="s">
        <v>592</v>
      </c>
      <c r="N2" s="611" t="s">
        <v>593</v>
      </c>
      <c r="O2" s="611" t="s">
        <v>574</v>
      </c>
      <c r="Q2" s="613" t="s">
        <v>727</v>
      </c>
      <c r="R2" s="618" t="s">
        <v>674</v>
      </c>
      <c r="S2" s="614" t="s">
        <v>594</v>
      </c>
      <c r="T2" s="614" t="s">
        <v>595</v>
      </c>
      <c r="U2" s="615" t="s">
        <v>596</v>
      </c>
      <c r="V2" s="619" t="s">
        <v>586</v>
      </c>
      <c r="W2" s="619" t="s">
        <v>587</v>
      </c>
      <c r="X2" s="619" t="s">
        <v>589</v>
      </c>
      <c r="Y2" s="619" t="s">
        <v>590</v>
      </c>
      <c r="Z2" s="619" t="s">
        <v>588</v>
      </c>
      <c r="AA2" s="619" t="s">
        <v>591</v>
      </c>
    </row>
    <row r="3" spans="1:27" ht="36.75" customHeight="1">
      <c r="A3" s="616" t="s">
        <v>658</v>
      </c>
      <c r="B3" s="627" t="s">
        <v>723</v>
      </c>
      <c r="C3" s="628" t="s">
        <v>659</v>
      </c>
      <c r="D3" s="628" t="s">
        <v>660</v>
      </c>
      <c r="E3" s="628" t="s">
        <v>661</v>
      </c>
      <c r="F3" s="620" t="s">
        <v>597</v>
      </c>
      <c r="G3" s="620" t="s">
        <v>598</v>
      </c>
      <c r="H3" s="620" t="s">
        <v>599</v>
      </c>
      <c r="I3" s="620" t="s">
        <v>599</v>
      </c>
      <c r="J3" s="620" t="s">
        <v>599</v>
      </c>
      <c r="K3" s="620" t="s">
        <v>600</v>
      </c>
      <c r="L3" s="620" t="s">
        <v>599</v>
      </c>
      <c r="M3" s="629" t="s">
        <v>601</v>
      </c>
      <c r="N3" s="620" t="s">
        <v>602</v>
      </c>
      <c r="O3" s="629" t="s">
        <v>603</v>
      </c>
      <c r="Q3" s="630" t="s">
        <v>679</v>
      </c>
      <c r="R3" s="631">
        <v>1</v>
      </c>
      <c r="S3" s="628" t="s">
        <v>681</v>
      </c>
      <c r="T3" s="616" t="s">
        <v>604</v>
      </c>
      <c r="U3" s="632">
        <v>45351</v>
      </c>
      <c r="V3" s="616" t="s">
        <v>95</v>
      </c>
      <c r="W3" s="616" t="s">
        <v>95</v>
      </c>
      <c r="X3" s="616" t="s">
        <v>95</v>
      </c>
      <c r="Y3" s="616" t="s">
        <v>95</v>
      </c>
      <c r="Z3" s="616" t="s">
        <v>95</v>
      </c>
      <c r="AA3" s="616" t="s">
        <v>95</v>
      </c>
    </row>
    <row r="4" spans="1:27" ht="36.75" customHeight="1">
      <c r="A4" s="617" t="s">
        <v>662</v>
      </c>
      <c r="B4" s="633" t="s">
        <v>663</v>
      </c>
      <c r="C4" s="633" t="s">
        <v>659</v>
      </c>
      <c r="D4" s="633" t="s">
        <v>660</v>
      </c>
      <c r="E4" s="633" t="s">
        <v>661</v>
      </c>
      <c r="F4" s="620" t="s">
        <v>605</v>
      </c>
      <c r="G4" s="620" t="s">
        <v>606</v>
      </c>
      <c r="H4" s="620" t="s">
        <v>599</v>
      </c>
      <c r="I4" s="620" t="s">
        <v>608</v>
      </c>
      <c r="J4" s="620" t="s">
        <v>608</v>
      </c>
      <c r="K4" s="620" t="s">
        <v>607</v>
      </c>
      <c r="L4" s="620" t="s">
        <v>599</v>
      </c>
      <c r="M4" s="629" t="s">
        <v>609</v>
      </c>
      <c r="N4" s="620" t="s">
        <v>610</v>
      </c>
      <c r="O4" s="629" t="s">
        <v>603</v>
      </c>
      <c r="Q4" s="630" t="s">
        <v>683</v>
      </c>
      <c r="R4" s="616">
        <v>0</v>
      </c>
      <c r="S4" s="616" t="s">
        <v>95</v>
      </c>
      <c r="T4" s="616" t="s">
        <v>95</v>
      </c>
      <c r="U4" s="616" t="s">
        <v>95</v>
      </c>
      <c r="V4" s="616" t="s">
        <v>95</v>
      </c>
      <c r="W4" s="616" t="s">
        <v>95</v>
      </c>
      <c r="X4" s="616" t="s">
        <v>95</v>
      </c>
      <c r="Y4" s="616" t="s">
        <v>95</v>
      </c>
      <c r="Z4" s="616" t="s">
        <v>95</v>
      </c>
      <c r="AA4" s="616" t="s">
        <v>95</v>
      </c>
    </row>
    <row r="5" spans="1:27" ht="36.75" customHeight="1">
      <c r="A5" s="617" t="s">
        <v>662</v>
      </c>
      <c r="B5" s="634" t="s">
        <v>724</v>
      </c>
      <c r="C5" s="633" t="s">
        <v>659</v>
      </c>
      <c r="D5" s="633" t="s">
        <v>660</v>
      </c>
      <c r="E5" s="633" t="s">
        <v>661</v>
      </c>
      <c r="F5" s="620" t="s">
        <v>611</v>
      </c>
      <c r="G5" s="620" t="s">
        <v>612</v>
      </c>
      <c r="H5" s="620" t="s">
        <v>599</v>
      </c>
      <c r="I5" s="620" t="s">
        <v>599</v>
      </c>
      <c r="J5" s="620" t="s">
        <v>599</v>
      </c>
      <c r="K5" s="620" t="s">
        <v>613</v>
      </c>
      <c r="L5" s="620" t="s">
        <v>599</v>
      </c>
      <c r="M5" s="629" t="s">
        <v>614</v>
      </c>
      <c r="N5" s="620" t="s">
        <v>615</v>
      </c>
      <c r="O5" s="634" t="s">
        <v>603</v>
      </c>
      <c r="Q5" s="630" t="s">
        <v>726</v>
      </c>
      <c r="R5" s="631">
        <v>0.7</v>
      </c>
      <c r="S5" s="628" t="s">
        <v>682</v>
      </c>
      <c r="T5" s="616" t="s">
        <v>680</v>
      </c>
      <c r="U5" s="616" t="s">
        <v>95</v>
      </c>
      <c r="V5" s="616">
        <f>$R$5*G5</f>
        <v>153.53100000000001</v>
      </c>
      <c r="W5" s="616">
        <f t="shared" ref="W5" si="0">$R$5*H5</f>
        <v>0</v>
      </c>
      <c r="X5" s="616">
        <f>$R$5*I5</f>
        <v>0</v>
      </c>
      <c r="Y5" s="616">
        <f>$R$5*J5</f>
        <v>0</v>
      </c>
      <c r="Z5" s="616">
        <f>$R$5*K5</f>
        <v>38.268999999999998</v>
      </c>
      <c r="AA5" s="616">
        <f>$R$5*L5</f>
        <v>0</v>
      </c>
    </row>
    <row r="6" spans="1:27" ht="49.5" customHeight="1">
      <c r="A6" s="617" t="s">
        <v>664</v>
      </c>
      <c r="B6" s="634" t="s">
        <v>616</v>
      </c>
      <c r="C6" s="633" t="s">
        <v>659</v>
      </c>
      <c r="D6" s="633" t="s">
        <v>660</v>
      </c>
      <c r="E6" s="633" t="s">
        <v>661</v>
      </c>
      <c r="F6" s="620" t="s">
        <v>617</v>
      </c>
      <c r="G6" s="620" t="s">
        <v>599</v>
      </c>
      <c r="H6" s="620" t="s">
        <v>599</v>
      </c>
      <c r="I6" s="620" t="s">
        <v>599</v>
      </c>
      <c r="J6" s="620" t="s">
        <v>599</v>
      </c>
      <c r="K6" s="620" t="s">
        <v>599</v>
      </c>
      <c r="L6" s="620" t="s">
        <v>599</v>
      </c>
      <c r="M6" s="634" t="s">
        <v>618</v>
      </c>
      <c r="N6" s="620" t="s">
        <v>619</v>
      </c>
      <c r="O6" s="634" t="s">
        <v>620</v>
      </c>
      <c r="Q6" s="630" t="s">
        <v>683</v>
      </c>
      <c r="R6" s="616">
        <v>0</v>
      </c>
      <c r="S6" s="616" t="s">
        <v>95</v>
      </c>
      <c r="T6" s="616" t="s">
        <v>95</v>
      </c>
      <c r="U6" s="616" t="s">
        <v>95</v>
      </c>
      <c r="V6" s="616" t="s">
        <v>95</v>
      </c>
      <c r="W6" s="616" t="s">
        <v>95</v>
      </c>
      <c r="X6" s="616" t="s">
        <v>95</v>
      </c>
      <c r="Y6" s="616" t="s">
        <v>95</v>
      </c>
      <c r="Z6" s="616" t="s">
        <v>95</v>
      </c>
      <c r="AA6" s="616" t="s">
        <v>95</v>
      </c>
    </row>
    <row r="7" spans="1:27" ht="36.75" customHeight="1">
      <c r="A7" s="617" t="s">
        <v>665</v>
      </c>
      <c r="B7" s="634" t="s">
        <v>725</v>
      </c>
      <c r="C7" s="633" t="s">
        <v>666</v>
      </c>
      <c r="D7" s="633" t="s">
        <v>660</v>
      </c>
      <c r="E7" s="633" t="s">
        <v>661</v>
      </c>
      <c r="F7" s="620" t="s">
        <v>621</v>
      </c>
      <c r="G7" s="620" t="s">
        <v>599</v>
      </c>
      <c r="H7" s="620" t="s">
        <v>599</v>
      </c>
      <c r="I7" s="620" t="s">
        <v>599</v>
      </c>
      <c r="J7" s="620" t="s">
        <v>599</v>
      </c>
      <c r="K7" s="620" t="s">
        <v>599</v>
      </c>
      <c r="L7" s="620" t="s">
        <v>599</v>
      </c>
      <c r="M7" s="634" t="s">
        <v>622</v>
      </c>
      <c r="N7" s="635" t="s">
        <v>623</v>
      </c>
      <c r="O7" s="634" t="s">
        <v>620</v>
      </c>
      <c r="Q7" s="630" t="s">
        <v>685</v>
      </c>
      <c r="R7" s="631">
        <v>1</v>
      </c>
      <c r="S7" s="636" t="s">
        <v>676</v>
      </c>
      <c r="T7" s="636" t="s">
        <v>675</v>
      </c>
      <c r="U7" s="616" t="s">
        <v>95</v>
      </c>
      <c r="V7" s="616" t="s">
        <v>95</v>
      </c>
      <c r="W7" s="616" t="s">
        <v>95</v>
      </c>
      <c r="X7" s="616" t="s">
        <v>95</v>
      </c>
      <c r="Y7" s="616" t="s">
        <v>95</v>
      </c>
      <c r="Z7" s="616" t="s">
        <v>95</v>
      </c>
      <c r="AA7" s="616" t="s">
        <v>95</v>
      </c>
    </row>
    <row r="8" spans="1:27" ht="36.75" customHeight="1">
      <c r="A8" s="617" t="s">
        <v>667</v>
      </c>
      <c r="B8" s="633" t="s">
        <v>668</v>
      </c>
      <c r="C8" s="633" t="s">
        <v>669</v>
      </c>
      <c r="D8" s="633" t="s">
        <v>660</v>
      </c>
      <c r="E8" s="633" t="s">
        <v>661</v>
      </c>
      <c r="F8" s="620" t="s">
        <v>611</v>
      </c>
      <c r="G8" s="620" t="s">
        <v>624</v>
      </c>
      <c r="H8" s="620" t="s">
        <v>624</v>
      </c>
      <c r="I8" s="620" t="s">
        <v>599</v>
      </c>
      <c r="J8" s="620" t="s">
        <v>599</v>
      </c>
      <c r="K8" s="620" t="s">
        <v>625</v>
      </c>
      <c r="L8" s="620" t="s">
        <v>599</v>
      </c>
      <c r="M8" s="634" t="s">
        <v>626</v>
      </c>
      <c r="N8" s="634" t="s">
        <v>627</v>
      </c>
      <c r="O8" s="634" t="s">
        <v>603</v>
      </c>
      <c r="Q8" s="630" t="s">
        <v>683</v>
      </c>
      <c r="R8" s="616" t="s">
        <v>95</v>
      </c>
      <c r="S8" s="616" t="s">
        <v>95</v>
      </c>
      <c r="T8" s="616" t="s">
        <v>95</v>
      </c>
      <c r="U8" s="616" t="s">
        <v>95</v>
      </c>
      <c r="V8" s="616" t="s">
        <v>95</v>
      </c>
      <c r="W8" s="616" t="s">
        <v>95</v>
      </c>
      <c r="X8" s="616" t="s">
        <v>95</v>
      </c>
      <c r="Y8" s="616" t="s">
        <v>95</v>
      </c>
      <c r="Z8" s="616" t="s">
        <v>95</v>
      </c>
      <c r="AA8" s="616" t="s">
        <v>95</v>
      </c>
    </row>
    <row r="9" spans="1:27" ht="67.5" customHeight="1">
      <c r="A9" s="617" t="s">
        <v>667</v>
      </c>
      <c r="B9" s="634" t="s">
        <v>722</v>
      </c>
      <c r="C9" s="633" t="s">
        <v>669</v>
      </c>
      <c r="D9" s="633" t="s">
        <v>660</v>
      </c>
      <c r="E9" s="633" t="s">
        <v>661</v>
      </c>
      <c r="F9" s="620" t="s">
        <v>628</v>
      </c>
      <c r="G9" s="620" t="s">
        <v>629</v>
      </c>
      <c r="H9" s="620" t="s">
        <v>630</v>
      </c>
      <c r="I9" s="620" t="s">
        <v>632</v>
      </c>
      <c r="J9" s="620" t="s">
        <v>633</v>
      </c>
      <c r="K9" s="620" t="s">
        <v>631</v>
      </c>
      <c r="L9" s="620" t="s">
        <v>634</v>
      </c>
      <c r="M9" s="629" t="s">
        <v>635</v>
      </c>
      <c r="N9" s="634" t="s">
        <v>636</v>
      </c>
      <c r="O9" s="634" t="s">
        <v>620</v>
      </c>
      <c r="Q9" s="637" t="s">
        <v>686</v>
      </c>
      <c r="R9" s="616" t="s">
        <v>95</v>
      </c>
      <c r="S9" s="616" t="s">
        <v>95</v>
      </c>
      <c r="T9" s="616" t="s">
        <v>689</v>
      </c>
      <c r="U9" s="616" t="s">
        <v>95</v>
      </c>
      <c r="V9" s="616" t="s">
        <v>95</v>
      </c>
      <c r="W9" s="616" t="s">
        <v>95</v>
      </c>
      <c r="X9" s="616" t="s">
        <v>95</v>
      </c>
      <c r="Y9" s="616" t="s">
        <v>95</v>
      </c>
      <c r="Z9" s="616" t="s">
        <v>95</v>
      </c>
      <c r="AA9" s="616" t="s">
        <v>95</v>
      </c>
    </row>
    <row r="10" spans="1:27" ht="36.75" customHeight="1">
      <c r="A10" s="617" t="s">
        <v>667</v>
      </c>
      <c r="B10" s="633" t="s">
        <v>670</v>
      </c>
      <c r="C10" s="633" t="s">
        <v>669</v>
      </c>
      <c r="D10" s="633" t="s">
        <v>660</v>
      </c>
      <c r="E10" s="633" t="s">
        <v>661</v>
      </c>
      <c r="F10" s="620" t="s">
        <v>637</v>
      </c>
      <c r="G10" s="620" t="s">
        <v>638</v>
      </c>
      <c r="H10" s="620" t="s">
        <v>599</v>
      </c>
      <c r="I10" s="620" t="s">
        <v>640</v>
      </c>
      <c r="J10" s="620" t="s">
        <v>640</v>
      </c>
      <c r="K10" s="620" t="s">
        <v>639</v>
      </c>
      <c r="L10" s="620" t="s">
        <v>641</v>
      </c>
      <c r="M10" s="634" t="s">
        <v>642</v>
      </c>
      <c r="N10" s="634" t="s">
        <v>643</v>
      </c>
      <c r="O10" s="634" t="s">
        <v>620</v>
      </c>
      <c r="Q10" s="630" t="s">
        <v>684</v>
      </c>
      <c r="R10" s="616" t="s">
        <v>95</v>
      </c>
      <c r="S10" s="616" t="s">
        <v>95</v>
      </c>
      <c r="T10" s="616" t="s">
        <v>95</v>
      </c>
      <c r="U10" s="616" t="s">
        <v>95</v>
      </c>
      <c r="V10" s="616" t="s">
        <v>95</v>
      </c>
      <c r="W10" s="616" t="s">
        <v>95</v>
      </c>
      <c r="X10" s="616" t="s">
        <v>95</v>
      </c>
      <c r="Y10" s="616" t="s">
        <v>95</v>
      </c>
      <c r="Z10" s="616" t="s">
        <v>95</v>
      </c>
      <c r="AA10" s="616" t="s">
        <v>95</v>
      </c>
    </row>
    <row r="11" spans="1:27" ht="46.5" customHeight="1">
      <c r="A11" s="634" t="s">
        <v>644</v>
      </c>
      <c r="B11" s="633" t="s">
        <v>671</v>
      </c>
      <c r="C11" s="633" t="s">
        <v>672</v>
      </c>
      <c r="D11" s="633" t="s">
        <v>660</v>
      </c>
      <c r="E11" s="633" t="s">
        <v>661</v>
      </c>
      <c r="F11" s="620" t="s">
        <v>605</v>
      </c>
      <c r="G11" s="620" t="s">
        <v>645</v>
      </c>
      <c r="H11" s="620" t="s">
        <v>599</v>
      </c>
      <c r="I11" s="620" t="s">
        <v>647</v>
      </c>
      <c r="J11" s="620" t="s">
        <v>632</v>
      </c>
      <c r="K11" s="620" t="s">
        <v>646</v>
      </c>
      <c r="L11" s="620" t="s">
        <v>648</v>
      </c>
      <c r="M11" s="634" t="s">
        <v>649</v>
      </c>
      <c r="N11" s="634" t="s">
        <v>650</v>
      </c>
      <c r="O11" s="634" t="s">
        <v>651</v>
      </c>
      <c r="Q11" s="637" t="s">
        <v>678</v>
      </c>
      <c r="R11" s="616" t="s">
        <v>677</v>
      </c>
      <c r="S11" s="616" t="s">
        <v>95</v>
      </c>
      <c r="T11" s="616" t="s">
        <v>95</v>
      </c>
      <c r="U11" s="616" t="s">
        <v>95</v>
      </c>
      <c r="V11" s="616" t="s">
        <v>95</v>
      </c>
      <c r="W11" s="616" t="s">
        <v>95</v>
      </c>
      <c r="X11" s="616" t="s">
        <v>95</v>
      </c>
      <c r="Y11" s="616" t="s">
        <v>95</v>
      </c>
      <c r="Z11" s="616" t="s">
        <v>95</v>
      </c>
      <c r="AA11" s="616" t="s">
        <v>95</v>
      </c>
    </row>
    <row r="12" spans="1:27" ht="68.25" customHeight="1">
      <c r="A12" s="634" t="s">
        <v>644</v>
      </c>
      <c r="B12" s="633" t="s">
        <v>673</v>
      </c>
      <c r="C12" s="633" t="s">
        <v>669</v>
      </c>
      <c r="D12" s="633" t="s">
        <v>660</v>
      </c>
      <c r="E12" s="633" t="s">
        <v>661</v>
      </c>
      <c r="F12" s="620" t="s">
        <v>652</v>
      </c>
      <c r="G12" s="620" t="s">
        <v>653</v>
      </c>
      <c r="H12" s="620" t="s">
        <v>599</v>
      </c>
      <c r="I12" s="620" t="s">
        <v>641</v>
      </c>
      <c r="J12" s="620" t="s">
        <v>641</v>
      </c>
      <c r="K12" s="620" t="s">
        <v>654</v>
      </c>
      <c r="L12" s="620" t="s">
        <v>608</v>
      </c>
      <c r="M12" s="634" t="s">
        <v>655</v>
      </c>
      <c r="N12" s="634" t="s">
        <v>656</v>
      </c>
      <c r="O12" s="634" t="s">
        <v>603</v>
      </c>
      <c r="Q12" s="630" t="s">
        <v>687</v>
      </c>
      <c r="R12" s="616" t="s">
        <v>95</v>
      </c>
      <c r="S12" s="616" t="s">
        <v>95</v>
      </c>
      <c r="T12" s="616" t="s">
        <v>689</v>
      </c>
      <c r="U12" s="616" t="s">
        <v>95</v>
      </c>
      <c r="V12" s="616" t="s">
        <v>95</v>
      </c>
      <c r="W12" s="616" t="s">
        <v>95</v>
      </c>
      <c r="X12" s="616" t="s">
        <v>95</v>
      </c>
      <c r="Y12" s="616" t="s">
        <v>95</v>
      </c>
      <c r="Z12" s="616" t="s">
        <v>95</v>
      </c>
      <c r="AA12" s="616" t="s">
        <v>95</v>
      </c>
    </row>
    <row r="13" spans="1:27">
      <c r="F13" s="625" t="s">
        <v>717</v>
      </c>
      <c r="G13" s="620">
        <f>G3+G4+G5+G6+G7+G8+G9+G10+G11+G12</f>
        <v>2944.51</v>
      </c>
      <c r="H13" s="620">
        <f t="shared" ref="H13:L13" si="1">H3+H4+H5+H6+H7+H8+H9+H10+H11+H12</f>
        <v>36.61</v>
      </c>
      <c r="I13" s="620">
        <f t="shared" si="1"/>
        <v>0.36</v>
      </c>
      <c r="J13" s="620">
        <f t="shared" si="1"/>
        <v>0.33999999999999997</v>
      </c>
      <c r="K13" s="620">
        <f t="shared" si="1"/>
        <v>811.12999999999988</v>
      </c>
      <c r="L13" s="620">
        <f t="shared" si="1"/>
        <v>0.39999999999999997</v>
      </c>
      <c r="U13" s="617" t="s">
        <v>174</v>
      </c>
      <c r="V13" s="616">
        <f>SUM(V3:V12)</f>
        <v>153.53100000000001</v>
      </c>
      <c r="W13" s="616">
        <f t="shared" ref="W13:AA13" si="2">SUM(W3:W12)</f>
        <v>0</v>
      </c>
      <c r="X13" s="616">
        <f t="shared" si="2"/>
        <v>0</v>
      </c>
      <c r="Y13" s="616">
        <f t="shared" si="2"/>
        <v>0</v>
      </c>
      <c r="Z13" s="616">
        <f>SUM(Z3:Z12)</f>
        <v>38.268999999999998</v>
      </c>
      <c r="AA13" s="616">
        <f t="shared" si="2"/>
        <v>0</v>
      </c>
    </row>
  </sheetData>
  <mergeCells count="3">
    <mergeCell ref="Q1:AA1"/>
    <mergeCell ref="A1:E1"/>
    <mergeCell ref="F1:O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I17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4" sqref="F24"/>
    </sheetView>
  </sheetViews>
  <sheetFormatPr defaultRowHeight="14.25"/>
  <cols>
    <col min="1" max="1" width="2.75" customWidth="1"/>
    <col min="2" max="2" width="20.875" customWidth="1"/>
    <col min="3" max="3" width="7" style="554" customWidth="1"/>
    <col min="4" max="4" width="8.5" style="554" customWidth="1"/>
    <col min="5" max="6" width="8.875" style="6" customWidth="1"/>
    <col min="7" max="7" width="8.75" customWidth="1"/>
    <col min="8" max="8" width="9.25" customWidth="1"/>
    <col min="9" max="9" width="7.25" customWidth="1"/>
    <col min="10" max="10" width="7.375" customWidth="1"/>
    <col min="11" max="11" width="9.125" customWidth="1"/>
    <col min="12" max="12" width="6.875" customWidth="1"/>
    <col min="13" max="14" width="7.5" bestFit="1" customWidth="1"/>
    <col min="15" max="15" width="8.75" bestFit="1" customWidth="1"/>
    <col min="16" max="16" width="7.375" customWidth="1"/>
    <col min="17" max="17" width="5.25" customWidth="1"/>
    <col min="18" max="18" width="10.75" customWidth="1"/>
    <col min="19" max="19" width="8.25" customWidth="1"/>
    <col min="20" max="20" width="12.75" customWidth="1"/>
    <col min="21" max="21" width="8" bestFit="1" customWidth="1"/>
    <col min="22" max="22" width="7.125" customWidth="1"/>
    <col min="23" max="23" width="6.75" customWidth="1"/>
    <col min="24" max="24" width="5.75" bestFit="1" customWidth="1"/>
    <col min="25" max="25" width="5.625" customWidth="1"/>
    <col min="26" max="26" width="7.125" customWidth="1"/>
    <col min="27" max="27" width="5" customWidth="1"/>
    <col min="28" max="28" width="11.125" customWidth="1"/>
    <col min="29" max="29" width="5" bestFit="1" customWidth="1"/>
    <col min="30" max="30" width="6.75" customWidth="1"/>
    <col min="31" max="31" width="5.875" customWidth="1"/>
    <col min="32" max="32" width="3.5" bestFit="1" customWidth="1"/>
    <col min="33" max="33" width="4.375" bestFit="1" customWidth="1"/>
    <col min="34" max="35" width="3.5" customWidth="1"/>
    <col min="36" max="36" width="2.5" customWidth="1"/>
    <col min="37" max="37" width="8.625" style="548" customWidth="1"/>
    <col min="38" max="38" width="6.125" style="548" customWidth="1"/>
    <col min="39" max="39" width="6.875" style="548" customWidth="1"/>
    <col min="40" max="40" width="8.5" style="548" customWidth="1"/>
    <col min="41" max="41" width="10.5" style="548" customWidth="1"/>
    <col min="42" max="42" width="9" style="548"/>
    <col min="43" max="43" width="8.125" style="548" customWidth="1"/>
    <col min="44" max="44" width="6.75" style="548" customWidth="1"/>
    <col min="45" max="45" width="10.75" style="548" customWidth="1"/>
    <col min="46" max="46" width="5.125" style="548" customWidth="1"/>
    <col min="47" max="47" width="5.625" style="548" bestFit="1" customWidth="1"/>
    <col min="48" max="48" width="7.625" style="548" customWidth="1"/>
    <col min="49" max="49" width="7.875" style="548" customWidth="1"/>
    <col min="50" max="50" width="5.625" style="548" bestFit="1" customWidth="1"/>
    <col min="51" max="51" width="5" style="548" bestFit="1" customWidth="1"/>
    <col min="52" max="52" width="6.375" style="548" bestFit="1" customWidth="1"/>
    <col min="53" max="53" width="4.125" style="548" bestFit="1" customWidth="1"/>
    <col min="54" max="56" width="4.125" bestFit="1" customWidth="1"/>
    <col min="57" max="57" width="9.875" bestFit="1" customWidth="1"/>
  </cols>
  <sheetData>
    <row r="1" spans="1:61" ht="15">
      <c r="B1" s="407" t="s">
        <v>700</v>
      </c>
      <c r="E1" s="595"/>
      <c r="F1" s="594"/>
      <c r="G1" s="594"/>
      <c r="H1" s="594"/>
      <c r="I1" s="594"/>
      <c r="J1" s="594"/>
      <c r="K1" s="594"/>
      <c r="L1" s="594"/>
      <c r="M1" s="594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7"/>
      <c r="AH1" s="547"/>
      <c r="AI1" s="547"/>
      <c r="AJ1" s="547"/>
      <c r="AK1" s="547"/>
      <c r="AL1" s="547"/>
      <c r="AM1" s="547"/>
      <c r="AN1" s="547"/>
      <c r="AO1" s="547"/>
    </row>
    <row r="2" spans="1:61" ht="15">
      <c r="A2" s="868" t="s">
        <v>471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69"/>
      <c r="O2" s="870"/>
      <c r="P2" s="590"/>
      <c r="Q2" s="590"/>
      <c r="AK2" s="549" t="s">
        <v>472</v>
      </c>
      <c r="AL2"/>
      <c r="AM2"/>
      <c r="AN2"/>
      <c r="AO2"/>
      <c r="AP2"/>
      <c r="AQ2"/>
      <c r="AR2"/>
      <c r="AS2"/>
      <c r="AV2" s="549" t="s">
        <v>507</v>
      </c>
    </row>
    <row r="3" spans="1:61" ht="48.75" customHeight="1">
      <c r="A3" s="871" t="s">
        <v>473</v>
      </c>
      <c r="B3" s="872" t="s">
        <v>474</v>
      </c>
      <c r="C3" s="581" t="s">
        <v>688</v>
      </c>
      <c r="D3" s="581" t="s">
        <v>695</v>
      </c>
      <c r="E3" s="873" t="s">
        <v>475</v>
      </c>
      <c r="F3" s="873" t="s">
        <v>560</v>
      </c>
      <c r="G3" s="873" t="s">
        <v>550</v>
      </c>
      <c r="H3" s="873"/>
      <c r="I3" s="874" t="s">
        <v>554</v>
      </c>
      <c r="J3" s="874"/>
      <c r="K3" s="874"/>
      <c r="L3" s="874"/>
      <c r="M3" s="874"/>
      <c r="N3" s="874"/>
      <c r="O3" s="874"/>
      <c r="P3" s="591"/>
      <c r="Q3" s="591"/>
      <c r="T3" s="864" t="s">
        <v>696</v>
      </c>
      <c r="U3" s="865" t="s">
        <v>555</v>
      </c>
      <c r="V3" s="866"/>
      <c r="W3" s="866"/>
      <c r="X3" s="866"/>
      <c r="Y3" s="866"/>
      <c r="Z3" s="866"/>
      <c r="AA3" s="867"/>
      <c r="AB3" s="864" t="s">
        <v>478</v>
      </c>
      <c r="AC3" s="865" t="s">
        <v>556</v>
      </c>
      <c r="AD3" s="866"/>
      <c r="AE3" s="866"/>
      <c r="AF3" s="866"/>
      <c r="AG3" s="866"/>
      <c r="AH3" s="866"/>
      <c r="AI3" s="867"/>
      <c r="AK3" s="550" t="s">
        <v>480</v>
      </c>
      <c r="AL3" s="550" t="s">
        <v>236</v>
      </c>
      <c r="AM3" s="550" t="s">
        <v>481</v>
      </c>
      <c r="AN3" s="550" t="s">
        <v>482</v>
      </c>
      <c r="AO3" s="550" t="s">
        <v>483</v>
      </c>
      <c r="AP3" s="550" t="s">
        <v>484</v>
      </c>
      <c r="AQ3" s="550" t="s">
        <v>485</v>
      </c>
      <c r="AR3" s="551" t="s">
        <v>486</v>
      </c>
      <c r="AS3" s="550" t="s">
        <v>487</v>
      </c>
      <c r="AV3" s="857" t="s">
        <v>557</v>
      </c>
      <c r="AW3" s="857" t="s">
        <v>476</v>
      </c>
      <c r="AX3" s="854" t="s">
        <v>508</v>
      </c>
      <c r="AY3" s="855"/>
      <c r="AZ3" s="855"/>
      <c r="BA3" s="855"/>
      <c r="BB3" s="855"/>
      <c r="BC3" s="855"/>
      <c r="BD3" s="856"/>
      <c r="BE3" s="857" t="s">
        <v>564</v>
      </c>
      <c r="BF3" s="857" t="s">
        <v>476</v>
      </c>
      <c r="BG3" s="857" t="s">
        <v>509</v>
      </c>
      <c r="BH3" s="857" t="s">
        <v>562</v>
      </c>
      <c r="BI3" s="857" t="s">
        <v>476</v>
      </c>
    </row>
    <row r="4" spans="1:61">
      <c r="A4" s="871"/>
      <c r="B4" s="872"/>
      <c r="C4" s="567"/>
      <c r="D4" s="567"/>
      <c r="E4" s="873"/>
      <c r="F4" s="873"/>
      <c r="G4" s="587" t="s">
        <v>551</v>
      </c>
      <c r="H4" s="587" t="s">
        <v>552</v>
      </c>
      <c r="I4" s="586" t="s">
        <v>66</v>
      </c>
      <c r="J4" s="586" t="s">
        <v>67</v>
      </c>
      <c r="K4" s="587" t="s">
        <v>100</v>
      </c>
      <c r="L4" s="586" t="s">
        <v>69</v>
      </c>
      <c r="M4" s="586" t="s">
        <v>198</v>
      </c>
      <c r="N4" s="586" t="s">
        <v>139</v>
      </c>
      <c r="O4" s="586" t="s">
        <v>72</v>
      </c>
      <c r="P4" s="591"/>
      <c r="Q4" s="557"/>
      <c r="T4" s="864"/>
      <c r="U4" s="567" t="s">
        <v>66</v>
      </c>
      <c r="V4" s="567" t="s">
        <v>67</v>
      </c>
      <c r="W4" s="568" t="s">
        <v>100</v>
      </c>
      <c r="X4" s="567" t="s">
        <v>69</v>
      </c>
      <c r="Y4" s="567" t="s">
        <v>198</v>
      </c>
      <c r="Z4" s="567" t="s">
        <v>139</v>
      </c>
      <c r="AA4" s="567" t="s">
        <v>72</v>
      </c>
      <c r="AB4" s="864"/>
      <c r="AC4" s="567" t="s">
        <v>66</v>
      </c>
      <c r="AD4" s="567" t="s">
        <v>67</v>
      </c>
      <c r="AE4" s="568" t="s">
        <v>100</v>
      </c>
      <c r="AF4" s="567" t="s">
        <v>69</v>
      </c>
      <c r="AG4" s="567" t="s">
        <v>198</v>
      </c>
      <c r="AH4" s="567" t="s">
        <v>139</v>
      </c>
      <c r="AI4" s="567" t="s">
        <v>72</v>
      </c>
      <c r="AK4" s="569" t="s">
        <v>488</v>
      </c>
      <c r="AL4" s="569" t="s">
        <v>489</v>
      </c>
      <c r="AM4" s="569" t="s">
        <v>490</v>
      </c>
      <c r="AN4" s="569" t="s">
        <v>491</v>
      </c>
      <c r="AO4" s="569" t="s">
        <v>488</v>
      </c>
      <c r="AP4" s="569" t="s">
        <v>491</v>
      </c>
      <c r="AQ4" s="569" t="s">
        <v>492</v>
      </c>
      <c r="AR4" s="570"/>
      <c r="AS4" s="571"/>
      <c r="AV4" s="858"/>
      <c r="AW4" s="858"/>
      <c r="AX4" s="555" t="s">
        <v>66</v>
      </c>
      <c r="AY4" s="555" t="s">
        <v>67</v>
      </c>
      <c r="AZ4" s="556" t="s">
        <v>100</v>
      </c>
      <c r="BA4" s="555" t="s">
        <v>69</v>
      </c>
      <c r="BB4" s="555" t="s">
        <v>198</v>
      </c>
      <c r="BC4" s="555" t="s">
        <v>139</v>
      </c>
      <c r="BD4" s="555" t="s">
        <v>72</v>
      </c>
      <c r="BE4" s="858"/>
      <c r="BF4" s="858"/>
      <c r="BG4" s="858"/>
      <c r="BH4" s="858"/>
      <c r="BI4" s="858"/>
    </row>
    <row r="5" spans="1:61">
      <c r="A5" s="851" t="s">
        <v>493</v>
      </c>
      <c r="B5" s="852"/>
      <c r="C5" s="852"/>
      <c r="D5" s="852"/>
      <c r="E5" s="852"/>
      <c r="F5" s="852"/>
      <c r="G5" s="852"/>
      <c r="H5" s="852"/>
      <c r="I5" s="852"/>
      <c r="J5" s="852"/>
      <c r="K5" s="852"/>
      <c r="L5" s="852"/>
      <c r="M5" s="852"/>
      <c r="N5" s="852"/>
      <c r="O5" s="853"/>
      <c r="P5" s="591"/>
      <c r="Q5" s="575"/>
      <c r="AA5" s="557"/>
      <c r="AB5" s="557"/>
      <c r="AC5" s="557"/>
      <c r="AD5" s="557"/>
      <c r="AE5" s="557"/>
      <c r="AF5" s="557"/>
      <c r="AG5" s="557"/>
      <c r="AH5" s="557"/>
      <c r="AI5" s="557"/>
      <c r="AK5" s="572"/>
      <c r="AL5" s="572"/>
      <c r="AM5" s="572"/>
      <c r="AN5" s="572"/>
      <c r="AO5" s="572"/>
      <c r="AP5" s="572"/>
      <c r="AQ5" s="572"/>
      <c r="AR5" s="572"/>
      <c r="AS5" s="572"/>
      <c r="BE5" s="548"/>
    </row>
    <row r="6" spans="1:61">
      <c r="A6" s="600"/>
      <c r="B6" s="601">
        <v>2019</v>
      </c>
      <c r="C6" s="601"/>
      <c r="D6" s="601"/>
      <c r="E6" s="601"/>
      <c r="F6" s="601"/>
      <c r="G6" s="601"/>
      <c r="H6" s="601"/>
      <c r="I6" s="601"/>
      <c r="J6" s="601"/>
      <c r="K6" s="601"/>
      <c r="L6" s="601"/>
      <c r="M6" s="601"/>
      <c r="N6" s="601"/>
      <c r="O6" s="602"/>
      <c r="P6" s="591"/>
      <c r="Q6" s="575"/>
      <c r="AA6" s="557"/>
      <c r="AB6" s="557"/>
      <c r="AC6" s="557"/>
      <c r="AD6" s="557"/>
      <c r="AE6" s="557"/>
      <c r="AF6" s="557"/>
      <c r="AG6" s="557"/>
      <c r="AH6" s="557"/>
      <c r="AI6" s="557"/>
      <c r="AK6" s="572"/>
      <c r="AL6" s="572"/>
      <c r="AM6" s="572"/>
      <c r="AN6" s="572"/>
      <c r="AO6" s="572"/>
      <c r="AP6" s="572"/>
      <c r="AQ6" s="572"/>
      <c r="AR6" s="572"/>
      <c r="AS6" s="572"/>
      <c r="BE6" s="548"/>
    </row>
    <row r="7" spans="1:61" ht="24" customHeight="1">
      <c r="A7" s="597">
        <v>1</v>
      </c>
      <c r="B7" s="604" t="s">
        <v>690</v>
      </c>
      <c r="C7" s="603">
        <v>2019</v>
      </c>
      <c r="D7" s="859" t="s">
        <v>694</v>
      </c>
      <c r="E7" s="573">
        <f>T7-AB7</f>
        <v>195.16476993493598</v>
      </c>
      <c r="F7" s="573">
        <f>E7/3.6</f>
        <v>54.212436093037766</v>
      </c>
      <c r="G7" s="573">
        <f>BF7+AW7</f>
        <v>0</v>
      </c>
      <c r="H7" s="573">
        <f t="shared" ref="H7:H15" si="0">G7/3.6*1000</f>
        <v>0</v>
      </c>
      <c r="I7" s="573">
        <f t="shared" ref="I7:J15" si="1">U7-AC7</f>
        <v>0</v>
      </c>
      <c r="J7" s="573">
        <f t="shared" si="1"/>
        <v>0</v>
      </c>
      <c r="K7" s="573">
        <f t="shared" ref="K7:K15" si="2">W7-AE7+BG7</f>
        <v>18.294745533700901</v>
      </c>
      <c r="L7" s="573">
        <f t="shared" ref="L7:O15" si="3">X7-AF7</f>
        <v>0</v>
      </c>
      <c r="M7" s="573">
        <f t="shared" si="3"/>
        <v>0</v>
      </c>
      <c r="N7" s="573">
        <f t="shared" si="3"/>
        <v>0</v>
      </c>
      <c r="O7" s="573">
        <f t="shared" si="3"/>
        <v>0</v>
      </c>
      <c r="P7" s="591"/>
      <c r="T7" s="573">
        <v>499.91959353845891</v>
      </c>
      <c r="U7" s="573"/>
      <c r="V7" s="573"/>
      <c r="W7" s="573">
        <f>$T7*'Wskaźniki emisji, założenia'!$D$7/1000000</f>
        <v>46.86246269829514</v>
      </c>
      <c r="X7" s="573"/>
      <c r="Y7" s="573"/>
      <c r="Z7" s="573"/>
      <c r="AA7" s="573"/>
      <c r="AB7" s="573">
        <f t="shared" ref="AB7:AI15" si="4">(1-$AR7)*T7</f>
        <v>304.75482360352294</v>
      </c>
      <c r="AC7" s="573">
        <f t="shared" ref="AC7" si="5">(1-$AR7)*U7</f>
        <v>0</v>
      </c>
      <c r="AD7" s="573">
        <f t="shared" ref="AD7" si="6">(1-$AR7)*V7</f>
        <v>0</v>
      </c>
      <c r="AE7" s="573">
        <f t="shared" ref="AE7" si="7">(1-$AR7)*W7</f>
        <v>28.567717164594239</v>
      </c>
      <c r="AF7" s="573">
        <f t="shared" ref="AF7" si="8">(1-$AR7)*X7</f>
        <v>0</v>
      </c>
      <c r="AG7" s="573">
        <f t="shared" ref="AG7" si="9">(1-$AR7)*Y7</f>
        <v>0</v>
      </c>
      <c r="AH7" s="573">
        <f t="shared" ref="AH7" si="10">(1-$AR7)*Z7</f>
        <v>0</v>
      </c>
      <c r="AI7" s="573">
        <f t="shared" ref="AI7" si="11">(1-$AR7)*AA7</f>
        <v>0</v>
      </c>
      <c r="AJ7" s="554"/>
      <c r="AK7" s="574">
        <v>0.12</v>
      </c>
      <c r="AL7" s="574">
        <v>0.18</v>
      </c>
      <c r="AM7" s="574">
        <v>0.04</v>
      </c>
      <c r="AN7" s="574">
        <v>0.12</v>
      </c>
      <c r="AO7" s="574">
        <v>0</v>
      </c>
      <c r="AP7" s="574">
        <v>0</v>
      </c>
      <c r="AQ7" s="574">
        <v>0</v>
      </c>
      <c r="AR7" s="574">
        <f t="shared" ref="AR7:AR15" si="12">100%-(100%-AK7)*(100%-AL7)*(100%-AM7)*(100%-AN7)*(100%-AO7)*(100%-AP7)*(100%-AQ7)</f>
        <v>0.39039232000000001</v>
      </c>
      <c r="AS7" s="598">
        <f t="shared" ref="AS7:AS15" si="13">100%-AR7</f>
        <v>0.60960767999999999</v>
      </c>
      <c r="AV7" s="573"/>
      <c r="AW7" s="573">
        <f t="shared" ref="AW7:AW15" si="14">AV7*520*3.6/1000</f>
        <v>0</v>
      </c>
      <c r="AX7" s="573"/>
      <c r="AY7" s="573"/>
      <c r="AZ7" s="573"/>
      <c r="BA7" s="573"/>
      <c r="BB7" s="573"/>
      <c r="BC7" s="573"/>
      <c r="BD7" s="573"/>
      <c r="BE7" s="573"/>
      <c r="BF7" s="573">
        <f t="shared" ref="BF7:BF15" si="15">BE7*1*3.6</f>
        <v>0</v>
      </c>
      <c r="BG7" s="573">
        <f>BF7*'Wskaźniki emisji, założenia'!$C$72/3.6</f>
        <v>0</v>
      </c>
      <c r="BH7" s="3"/>
      <c r="BI7" s="558">
        <f t="shared" ref="BI7:BI15" si="16">BH7*1.25*3.6</f>
        <v>0</v>
      </c>
    </row>
    <row r="8" spans="1:61" ht="27" customHeight="1">
      <c r="A8" s="597">
        <v>2</v>
      </c>
      <c r="B8" s="604" t="s">
        <v>691</v>
      </c>
      <c r="C8" s="603">
        <v>2019</v>
      </c>
      <c r="D8" s="860"/>
      <c r="E8" s="573">
        <f t="shared" ref="E8:E15" si="17">T8-AB8</f>
        <v>1182.0952034895056</v>
      </c>
      <c r="F8" s="573">
        <f t="shared" ref="F8:F15" si="18">E8/3.6</f>
        <v>328.35977874708487</v>
      </c>
      <c r="G8" s="573">
        <f>BF8+AW8+BI8</f>
        <v>0</v>
      </c>
      <c r="H8" s="573">
        <f t="shared" si="0"/>
        <v>0</v>
      </c>
      <c r="I8" s="573">
        <f t="shared" si="1"/>
        <v>0</v>
      </c>
      <c r="J8" s="573">
        <f t="shared" si="1"/>
        <v>0</v>
      </c>
      <c r="K8" s="573">
        <f t="shared" si="2"/>
        <v>110.80960437510626</v>
      </c>
      <c r="L8" s="573">
        <f t="shared" si="3"/>
        <v>0</v>
      </c>
      <c r="M8" s="573">
        <f t="shared" si="3"/>
        <v>0</v>
      </c>
      <c r="N8" s="573">
        <f t="shared" si="3"/>
        <v>0</v>
      </c>
      <c r="O8" s="573">
        <f t="shared" si="3"/>
        <v>0</v>
      </c>
      <c r="P8" s="591"/>
      <c r="T8" s="573">
        <v>3027.9673623945923</v>
      </c>
      <c r="U8" s="573"/>
      <c r="V8" s="573"/>
      <c r="W8" s="573">
        <f>$T8*'Wskaźniki emisji, założenia'!$D$7/1000000</f>
        <v>283.84166055086911</v>
      </c>
      <c r="X8" s="573"/>
      <c r="Y8" s="573"/>
      <c r="Z8" s="573"/>
      <c r="AA8" s="573"/>
      <c r="AB8" s="573">
        <f t="shared" si="4"/>
        <v>1845.8721589050867</v>
      </c>
      <c r="AC8" s="573">
        <f t="shared" ref="AC8:AC11" si="19">(1-$AR8)*U8</f>
        <v>0</v>
      </c>
      <c r="AD8" s="573">
        <f t="shared" ref="AD8:AD11" si="20">(1-$AR8)*V8</f>
        <v>0</v>
      </c>
      <c r="AE8" s="573">
        <f t="shared" ref="AE8:AE11" si="21">(1-$AR8)*W8</f>
        <v>173.03205617576285</v>
      </c>
      <c r="AF8" s="573">
        <f t="shared" ref="AF8:AF11" si="22">(1-$AR8)*X8</f>
        <v>0</v>
      </c>
      <c r="AG8" s="573">
        <f t="shared" ref="AG8:AG11" si="23">(1-$AR8)*Y8</f>
        <v>0</v>
      </c>
      <c r="AH8" s="573">
        <f t="shared" ref="AH8:AH11" si="24">(1-$AR8)*Z8</f>
        <v>0</v>
      </c>
      <c r="AI8" s="573">
        <f t="shared" ref="AI8:AI11" si="25">(1-$AR8)*AA8</f>
        <v>0</v>
      </c>
      <c r="AK8" s="574">
        <v>0.12</v>
      </c>
      <c r="AL8" s="574">
        <v>0.18</v>
      </c>
      <c r="AM8" s="574">
        <v>0.04</v>
      </c>
      <c r="AN8" s="574">
        <v>0.12</v>
      </c>
      <c r="AO8" s="574">
        <v>0</v>
      </c>
      <c r="AP8" s="574">
        <v>0</v>
      </c>
      <c r="AQ8" s="574">
        <v>0</v>
      </c>
      <c r="AR8" s="574">
        <f t="shared" si="12"/>
        <v>0.39039232000000001</v>
      </c>
      <c r="AS8" s="598">
        <f t="shared" si="13"/>
        <v>0.60960767999999999</v>
      </c>
      <c r="AV8" s="406"/>
      <c r="AW8" s="573">
        <f t="shared" si="14"/>
        <v>0</v>
      </c>
      <c r="AX8" s="406"/>
      <c r="AY8" s="406"/>
      <c r="AZ8" s="406"/>
      <c r="BA8" s="406"/>
      <c r="BB8" s="3"/>
      <c r="BC8" s="3"/>
      <c r="BD8" s="3"/>
      <c r="BE8" s="573"/>
      <c r="BF8" s="573">
        <f t="shared" si="15"/>
        <v>0</v>
      </c>
      <c r="BG8" s="573">
        <f>BF8*'Wskaźniki emisji, założenia'!$C$72/3.6</f>
        <v>0</v>
      </c>
      <c r="BH8" s="558"/>
      <c r="BI8" s="558">
        <f t="shared" si="16"/>
        <v>0</v>
      </c>
    </row>
    <row r="9" spans="1:61" ht="36.75" customHeight="1">
      <c r="A9" s="597">
        <v>3</v>
      </c>
      <c r="B9" s="604" t="s">
        <v>692</v>
      </c>
      <c r="C9" s="603">
        <v>2019</v>
      </c>
      <c r="D9" s="860"/>
      <c r="E9" s="573">
        <f t="shared" si="17"/>
        <v>994.69066340552467</v>
      </c>
      <c r="F9" s="573">
        <f t="shared" si="18"/>
        <v>276.30296205709016</v>
      </c>
      <c r="G9" s="573">
        <f>BF9+AW9+BI9</f>
        <v>0</v>
      </c>
      <c r="H9" s="573">
        <f t="shared" si="0"/>
        <v>0</v>
      </c>
      <c r="I9" s="573">
        <f t="shared" si="1"/>
        <v>0</v>
      </c>
      <c r="J9" s="573">
        <f t="shared" si="1"/>
        <v>0</v>
      </c>
      <c r="K9" s="573">
        <f t="shared" si="2"/>
        <v>93.242302787633889</v>
      </c>
      <c r="L9" s="573">
        <f t="shared" si="3"/>
        <v>0</v>
      </c>
      <c r="M9" s="573">
        <f t="shared" si="3"/>
        <v>0</v>
      </c>
      <c r="N9" s="573">
        <f t="shared" si="3"/>
        <v>0</v>
      </c>
      <c r="O9" s="573">
        <f t="shared" si="3"/>
        <v>0</v>
      </c>
      <c r="P9" s="591"/>
      <c r="T9" s="573">
        <v>2547.9257978372234</v>
      </c>
      <c r="U9" s="573"/>
      <c r="V9" s="573"/>
      <c r="W9" s="573">
        <f>$T9*'Wskaźniki emisji, założenia'!$D$7/1000000</f>
        <v>238.8425642892613</v>
      </c>
      <c r="X9" s="573"/>
      <c r="Y9" s="573"/>
      <c r="Z9" s="573"/>
      <c r="AA9" s="573"/>
      <c r="AB9" s="573">
        <f t="shared" si="4"/>
        <v>1553.2351344316987</v>
      </c>
      <c r="AC9" s="573">
        <f t="shared" si="19"/>
        <v>0</v>
      </c>
      <c r="AD9" s="573">
        <f t="shared" si="20"/>
        <v>0</v>
      </c>
      <c r="AE9" s="573">
        <f t="shared" si="21"/>
        <v>145.60026150162741</v>
      </c>
      <c r="AF9" s="573">
        <f t="shared" si="22"/>
        <v>0</v>
      </c>
      <c r="AG9" s="573">
        <f t="shared" si="23"/>
        <v>0</v>
      </c>
      <c r="AH9" s="573">
        <f t="shared" si="24"/>
        <v>0</v>
      </c>
      <c r="AI9" s="573">
        <f t="shared" si="25"/>
        <v>0</v>
      </c>
      <c r="AK9" s="574">
        <v>0.12</v>
      </c>
      <c r="AL9" s="574">
        <v>0.18</v>
      </c>
      <c r="AM9" s="574">
        <v>0.04</v>
      </c>
      <c r="AN9" s="574">
        <v>0.12</v>
      </c>
      <c r="AO9" s="574">
        <v>0</v>
      </c>
      <c r="AP9" s="574">
        <v>0</v>
      </c>
      <c r="AQ9" s="574">
        <v>0</v>
      </c>
      <c r="AR9" s="574">
        <f t="shared" ref="AR9:AR12" si="26">100%-(100%-AK9)*(100%-AL9)*(100%-AM9)*(100%-AN9)*(100%-AO9)*(100%-AP9)*(100%-AQ9)</f>
        <v>0.39039232000000001</v>
      </c>
      <c r="AS9" s="598">
        <f t="shared" ref="AS9:AS11" si="27">100%-AR9</f>
        <v>0.60960767999999999</v>
      </c>
      <c r="AV9" s="406"/>
      <c r="AW9" s="573">
        <f t="shared" si="14"/>
        <v>0</v>
      </c>
      <c r="AX9" s="406"/>
      <c r="AY9" s="406"/>
      <c r="AZ9" s="406"/>
      <c r="BA9" s="406"/>
      <c r="BB9" s="3"/>
      <c r="BC9" s="3"/>
      <c r="BD9" s="3"/>
      <c r="BE9" s="573"/>
      <c r="BF9" s="573">
        <f t="shared" si="15"/>
        <v>0</v>
      </c>
      <c r="BG9" s="573">
        <f>BF9*'Wskaźniki emisji, założenia'!$C$72/3.6</f>
        <v>0</v>
      </c>
      <c r="BH9" s="558"/>
      <c r="BI9" s="558">
        <f t="shared" si="16"/>
        <v>0</v>
      </c>
    </row>
    <row r="10" spans="1:61" ht="24" customHeight="1">
      <c r="A10" s="597">
        <v>4</v>
      </c>
      <c r="B10" s="604" t="s">
        <v>693</v>
      </c>
      <c r="C10" s="603">
        <v>2019</v>
      </c>
      <c r="D10" s="860"/>
      <c r="E10" s="573">
        <f t="shared" si="17"/>
        <v>716.72106018167983</v>
      </c>
      <c r="F10" s="573">
        <f t="shared" si="18"/>
        <v>199.08918338379993</v>
      </c>
      <c r="G10" s="573">
        <f>BF10+AW10+BI10</f>
        <v>0</v>
      </c>
      <c r="H10" s="573">
        <f t="shared" si="0"/>
        <v>0</v>
      </c>
      <c r="I10" s="573">
        <f t="shared" si="1"/>
        <v>0</v>
      </c>
      <c r="J10" s="573">
        <f t="shared" si="1"/>
        <v>0</v>
      </c>
      <c r="K10" s="573">
        <f t="shared" si="2"/>
        <v>67.185432181430656</v>
      </c>
      <c r="L10" s="573">
        <f t="shared" si="3"/>
        <v>0</v>
      </c>
      <c r="M10" s="573">
        <f t="shared" si="3"/>
        <v>0</v>
      </c>
      <c r="N10" s="573">
        <f t="shared" si="3"/>
        <v>0</v>
      </c>
      <c r="O10" s="573">
        <f t="shared" si="3"/>
        <v>0</v>
      </c>
      <c r="P10" s="591"/>
      <c r="T10" s="573">
        <v>1835.8994874224979</v>
      </c>
      <c r="U10" s="573"/>
      <c r="V10" s="573"/>
      <c r="W10" s="573">
        <f>$T10*'Wskaźniki emisji, założenia'!$D$7/1000000</f>
        <v>172.09721795098494</v>
      </c>
      <c r="X10" s="573"/>
      <c r="Y10" s="573"/>
      <c r="Z10" s="573"/>
      <c r="AA10" s="573"/>
      <c r="AB10" s="573">
        <f t="shared" si="4"/>
        <v>1119.1784272408181</v>
      </c>
      <c r="AC10" s="573">
        <f t="shared" si="19"/>
        <v>0</v>
      </c>
      <c r="AD10" s="573">
        <f t="shared" si="20"/>
        <v>0</v>
      </c>
      <c r="AE10" s="573">
        <f t="shared" si="21"/>
        <v>104.91178576955429</v>
      </c>
      <c r="AF10" s="573">
        <f t="shared" si="22"/>
        <v>0</v>
      </c>
      <c r="AG10" s="573">
        <f t="shared" si="23"/>
        <v>0</v>
      </c>
      <c r="AH10" s="573">
        <f t="shared" si="24"/>
        <v>0</v>
      </c>
      <c r="AI10" s="573">
        <f t="shared" si="25"/>
        <v>0</v>
      </c>
      <c r="AK10" s="574">
        <v>0.12</v>
      </c>
      <c r="AL10" s="574">
        <v>0.18</v>
      </c>
      <c r="AM10" s="574">
        <v>0.04</v>
      </c>
      <c r="AN10" s="574">
        <v>0.12</v>
      </c>
      <c r="AO10" s="574">
        <v>0</v>
      </c>
      <c r="AP10" s="574">
        <v>0</v>
      </c>
      <c r="AQ10" s="574">
        <v>0</v>
      </c>
      <c r="AR10" s="574">
        <f t="shared" si="26"/>
        <v>0.39039232000000001</v>
      </c>
      <c r="AS10" s="598">
        <f t="shared" si="27"/>
        <v>0.60960767999999999</v>
      </c>
      <c r="AV10" s="406"/>
      <c r="AW10" s="573">
        <f t="shared" si="14"/>
        <v>0</v>
      </c>
      <c r="AX10" s="406"/>
      <c r="AY10" s="406"/>
      <c r="AZ10" s="406"/>
      <c r="BA10" s="406"/>
      <c r="BB10" s="3"/>
      <c r="BC10" s="3"/>
      <c r="BD10" s="3"/>
      <c r="BE10" s="573"/>
      <c r="BF10" s="573">
        <f t="shared" si="15"/>
        <v>0</v>
      </c>
      <c r="BG10" s="573">
        <f>BF10*'Wskaźniki emisji, założenia'!$C$72/3.6</f>
        <v>0</v>
      </c>
      <c r="BH10" s="558"/>
      <c r="BI10" s="558">
        <f t="shared" si="16"/>
        <v>0</v>
      </c>
    </row>
    <row r="11" spans="1:61" ht="39.75" customHeight="1">
      <c r="A11" s="597">
        <v>5</v>
      </c>
      <c r="B11" s="604" t="s">
        <v>697</v>
      </c>
      <c r="C11" s="603">
        <v>2019</v>
      </c>
      <c r="D11" s="861"/>
      <c r="E11" s="573">
        <f t="shared" si="17"/>
        <v>994.69066340552467</v>
      </c>
      <c r="F11" s="573">
        <f t="shared" si="18"/>
        <v>276.30296205709016</v>
      </c>
      <c r="G11" s="573">
        <f>BF11+AW11+BI11</f>
        <v>0</v>
      </c>
      <c r="H11" s="573">
        <f t="shared" si="0"/>
        <v>0</v>
      </c>
      <c r="I11" s="573">
        <f t="shared" si="1"/>
        <v>0</v>
      </c>
      <c r="J11" s="573">
        <f t="shared" si="1"/>
        <v>0</v>
      </c>
      <c r="K11" s="573">
        <f t="shared" si="2"/>
        <v>224.35800519035723</v>
      </c>
      <c r="L11" s="573">
        <f t="shared" si="3"/>
        <v>0</v>
      </c>
      <c r="M11" s="573">
        <f t="shared" si="3"/>
        <v>0</v>
      </c>
      <c r="N11" s="573">
        <f t="shared" si="3"/>
        <v>0</v>
      </c>
      <c r="O11" s="573">
        <f t="shared" si="3"/>
        <v>0</v>
      </c>
      <c r="P11" s="591"/>
      <c r="T11" s="573">
        <v>2547.9257978372234</v>
      </c>
      <c r="U11" s="573"/>
      <c r="V11" s="573"/>
      <c r="W11" s="573">
        <f>$T11*'Wskaźniki emisji, założenia'!C72/3.6</f>
        <v>574.69881884550705</v>
      </c>
      <c r="X11" s="573"/>
      <c r="Y11" s="573"/>
      <c r="Z11" s="573"/>
      <c r="AA11" s="573"/>
      <c r="AB11" s="573">
        <f t="shared" si="4"/>
        <v>1553.2351344316987</v>
      </c>
      <c r="AC11" s="573">
        <f t="shared" si="19"/>
        <v>0</v>
      </c>
      <c r="AD11" s="573">
        <f t="shared" si="20"/>
        <v>0</v>
      </c>
      <c r="AE11" s="573">
        <f t="shared" si="21"/>
        <v>350.34081365514982</v>
      </c>
      <c r="AF11" s="573">
        <f t="shared" si="22"/>
        <v>0</v>
      </c>
      <c r="AG11" s="573">
        <f t="shared" si="23"/>
        <v>0</v>
      </c>
      <c r="AH11" s="573">
        <f t="shared" si="24"/>
        <v>0</v>
      </c>
      <c r="AI11" s="573">
        <f t="shared" si="25"/>
        <v>0</v>
      </c>
      <c r="AK11" s="574">
        <v>0.12</v>
      </c>
      <c r="AL11" s="574">
        <v>0.18</v>
      </c>
      <c r="AM11" s="574">
        <v>0.04</v>
      </c>
      <c r="AN11" s="574">
        <v>0.12</v>
      </c>
      <c r="AO11" s="574">
        <v>0</v>
      </c>
      <c r="AP11" s="574">
        <v>0</v>
      </c>
      <c r="AQ11" s="574">
        <v>0</v>
      </c>
      <c r="AR11" s="574">
        <f t="shared" si="26"/>
        <v>0.39039232000000001</v>
      </c>
      <c r="AS11" s="598">
        <f t="shared" si="27"/>
        <v>0.60960767999999999</v>
      </c>
      <c r="AV11" s="406"/>
      <c r="AW11" s="573"/>
      <c r="AX11" s="406"/>
      <c r="AY11" s="406"/>
      <c r="AZ11" s="406"/>
      <c r="BA11" s="406"/>
      <c r="BB11" s="3"/>
      <c r="BC11" s="3"/>
      <c r="BD11" s="3"/>
      <c r="BE11" s="573"/>
      <c r="BF11" s="573">
        <f t="shared" si="15"/>
        <v>0</v>
      </c>
      <c r="BG11" s="573">
        <f>BF11*'Wskaźniki emisji, założenia'!$C$72/3.6</f>
        <v>0</v>
      </c>
      <c r="BH11" s="558"/>
      <c r="BI11" s="558">
        <f t="shared" si="16"/>
        <v>0</v>
      </c>
    </row>
    <row r="12" spans="1:61" ht="36.75">
      <c r="A12" s="597">
        <v>6</v>
      </c>
      <c r="B12" s="604" t="s">
        <v>698</v>
      </c>
      <c r="C12" s="603">
        <v>2020</v>
      </c>
      <c r="D12" s="624" t="s">
        <v>699</v>
      </c>
      <c r="E12" s="573">
        <f t="shared" si="17"/>
        <v>531.14655745727248</v>
      </c>
      <c r="F12" s="573">
        <f t="shared" si="18"/>
        <v>147.54071040479792</v>
      </c>
      <c r="G12" s="573">
        <f>BF12+AW12</f>
        <v>0</v>
      </c>
      <c r="H12" s="573">
        <f t="shared" si="0"/>
        <v>0</v>
      </c>
      <c r="I12" s="573">
        <f t="shared" si="1"/>
        <v>0</v>
      </c>
      <c r="J12" s="573">
        <f t="shared" si="1"/>
        <v>0</v>
      </c>
      <c r="K12" s="573">
        <f t="shared" si="2"/>
        <v>49.789678296044727</v>
      </c>
      <c r="L12" s="573">
        <f t="shared" si="3"/>
        <v>0</v>
      </c>
      <c r="M12" s="573">
        <f t="shared" si="3"/>
        <v>0</v>
      </c>
      <c r="N12" s="573">
        <f t="shared" si="3"/>
        <v>0</v>
      </c>
      <c r="O12" s="573">
        <f t="shared" si="3"/>
        <v>0</v>
      </c>
      <c r="P12" s="591"/>
      <c r="Q12" s="599"/>
      <c r="T12" s="573">
        <v>1360.5456107775699</v>
      </c>
      <c r="U12" s="573"/>
      <c r="V12" s="573"/>
      <c r="W12" s="573">
        <f>$T12*'Wskaźniki emisji, założenia'!$D$7/1000000</f>
        <v>127.53754555428939</v>
      </c>
      <c r="X12" s="573"/>
      <c r="Y12" s="573"/>
      <c r="Z12" s="573"/>
      <c r="AA12" s="573"/>
      <c r="AB12" s="573">
        <f t="shared" si="4"/>
        <v>829.39905332029741</v>
      </c>
      <c r="AC12" s="573">
        <f t="shared" ref="AC12" si="28">(1-$AR12)*U12</f>
        <v>0</v>
      </c>
      <c r="AD12" s="573">
        <f t="shared" ref="AD12" si="29">(1-$AR12)*V12</f>
        <v>0</v>
      </c>
      <c r="AE12" s="573">
        <f t="shared" ref="AE12" si="30">(1-$AR12)*W12</f>
        <v>77.747867258244668</v>
      </c>
      <c r="AF12" s="573">
        <f t="shared" ref="AF12" si="31">(1-$AR12)*X12</f>
        <v>0</v>
      </c>
      <c r="AG12" s="573">
        <f t="shared" ref="AG12" si="32">(1-$AR12)*Y12</f>
        <v>0</v>
      </c>
      <c r="AH12" s="573">
        <f t="shared" ref="AH12" si="33">(1-$AR12)*Z12</f>
        <v>0</v>
      </c>
      <c r="AI12" s="573">
        <f t="shared" ref="AI12" si="34">(1-$AR12)*AA12</f>
        <v>0</v>
      </c>
      <c r="AJ12" s="554"/>
      <c r="AK12" s="574">
        <v>0.12</v>
      </c>
      <c r="AL12" s="574">
        <v>0.18</v>
      </c>
      <c r="AM12" s="574">
        <v>0.04</v>
      </c>
      <c r="AN12" s="574">
        <v>0.12</v>
      </c>
      <c r="AO12" s="574">
        <v>0</v>
      </c>
      <c r="AP12" s="574"/>
      <c r="AQ12" s="574"/>
      <c r="AR12" s="574">
        <f t="shared" si="26"/>
        <v>0.39039232000000001</v>
      </c>
      <c r="AS12" s="598">
        <f t="shared" si="13"/>
        <v>0.60960767999999999</v>
      </c>
      <c r="AV12" s="573"/>
      <c r="AW12" s="573">
        <f t="shared" si="14"/>
        <v>0</v>
      </c>
      <c r="AX12" s="573"/>
      <c r="AY12" s="573"/>
      <c r="AZ12" s="573"/>
      <c r="BA12" s="573"/>
      <c r="BB12" s="573"/>
      <c r="BC12" s="573"/>
      <c r="BD12" s="573"/>
      <c r="BE12" s="573"/>
      <c r="BF12" s="573">
        <f t="shared" si="15"/>
        <v>0</v>
      </c>
      <c r="BG12" s="573">
        <f>BF12*'Wskaźniki emisji, założenia'!$C$72/3.6</f>
        <v>0</v>
      </c>
      <c r="BH12" s="3"/>
      <c r="BI12" s="558">
        <f t="shared" si="16"/>
        <v>0</v>
      </c>
    </row>
    <row r="13" spans="1:61" ht="31.5" hidden="1" customHeight="1">
      <c r="A13" s="597">
        <v>6</v>
      </c>
      <c r="B13" s="604"/>
      <c r="C13" s="603"/>
      <c r="D13" s="603"/>
      <c r="E13" s="573">
        <f t="shared" si="17"/>
        <v>0</v>
      </c>
      <c r="F13" s="573">
        <f t="shared" si="18"/>
        <v>0</v>
      </c>
      <c r="G13" s="573">
        <f>BF13+AW13+BI13</f>
        <v>0</v>
      </c>
      <c r="H13" s="573">
        <f t="shared" si="0"/>
        <v>0</v>
      </c>
      <c r="I13" s="573">
        <f t="shared" si="1"/>
        <v>0</v>
      </c>
      <c r="J13" s="573">
        <f t="shared" si="1"/>
        <v>0</v>
      </c>
      <c r="K13" s="573">
        <f t="shared" si="2"/>
        <v>0</v>
      </c>
      <c r="L13" s="573">
        <f t="shared" si="3"/>
        <v>0</v>
      </c>
      <c r="M13" s="573">
        <f t="shared" si="3"/>
        <v>0</v>
      </c>
      <c r="N13" s="573">
        <f t="shared" si="3"/>
        <v>0</v>
      </c>
      <c r="O13" s="573">
        <f t="shared" si="3"/>
        <v>0</v>
      </c>
      <c r="P13" s="591"/>
      <c r="T13" s="573"/>
      <c r="U13" s="573">
        <f>$T13*'Wskaźniki emisji, założenia'!B7/1000000</f>
        <v>0</v>
      </c>
      <c r="V13" s="573">
        <f>$T13*'Wskaźniki emisji, założenia'!C7/1000000</f>
        <v>0</v>
      </c>
      <c r="W13" s="573">
        <f>$T13*'Wskaźniki emisji, założenia'!D7/1000000</f>
        <v>0</v>
      </c>
      <c r="X13" s="573">
        <f>$T13*'Wskaźniki emisji, założenia'!E7/1000000</f>
        <v>0</v>
      </c>
      <c r="Y13" s="573">
        <f>$T13*'Wskaźniki emisji, założenia'!F7/1000000</f>
        <v>0</v>
      </c>
      <c r="Z13" s="573">
        <f>$T13*'Wskaźniki emisji, założenia'!G7/1000000</f>
        <v>0</v>
      </c>
      <c r="AA13" s="573">
        <f>$T13*'Wskaźniki emisji, założenia'!H7/1000000</f>
        <v>0</v>
      </c>
      <c r="AB13" s="573">
        <f t="shared" si="4"/>
        <v>0</v>
      </c>
      <c r="AC13" s="573">
        <f t="shared" si="4"/>
        <v>0</v>
      </c>
      <c r="AD13" s="573">
        <f t="shared" si="4"/>
        <v>0</v>
      </c>
      <c r="AE13" s="573">
        <f t="shared" si="4"/>
        <v>0</v>
      </c>
      <c r="AF13" s="573">
        <f t="shared" si="4"/>
        <v>0</v>
      </c>
      <c r="AG13" s="573">
        <f t="shared" si="4"/>
        <v>0</v>
      </c>
      <c r="AH13" s="573">
        <f t="shared" si="4"/>
        <v>0</v>
      </c>
      <c r="AI13" s="573">
        <f t="shared" si="4"/>
        <v>0</v>
      </c>
      <c r="AK13" s="574"/>
      <c r="AL13" s="574"/>
      <c r="AM13" s="574"/>
      <c r="AN13" s="574"/>
      <c r="AO13" s="574"/>
      <c r="AP13" s="574"/>
      <c r="AQ13" s="574"/>
      <c r="AR13" s="574">
        <f t="shared" si="12"/>
        <v>0</v>
      </c>
      <c r="AS13" s="598">
        <f t="shared" si="13"/>
        <v>1</v>
      </c>
      <c r="AV13" s="406"/>
      <c r="AW13" s="573">
        <f t="shared" si="14"/>
        <v>0</v>
      </c>
      <c r="AX13" s="406"/>
      <c r="AY13" s="406"/>
      <c r="AZ13" s="406"/>
      <c r="BA13" s="406"/>
      <c r="BB13" s="3"/>
      <c r="BC13" s="3"/>
      <c r="BD13" s="3"/>
      <c r="BE13" s="573"/>
      <c r="BF13" s="573">
        <f t="shared" si="15"/>
        <v>0</v>
      </c>
      <c r="BG13" s="573">
        <f>BF13*'Wskaźniki emisji, założenia'!$C$72/3.6</f>
        <v>0</v>
      </c>
      <c r="BH13" s="558"/>
      <c r="BI13" s="558">
        <f t="shared" si="16"/>
        <v>0</v>
      </c>
    </row>
    <row r="14" spans="1:61" ht="24" hidden="1" customHeight="1">
      <c r="A14" s="597">
        <v>7</v>
      </c>
      <c r="B14" s="604"/>
      <c r="C14" s="603"/>
      <c r="D14" s="603"/>
      <c r="E14" s="573">
        <f t="shared" si="17"/>
        <v>0</v>
      </c>
      <c r="F14" s="573">
        <f t="shared" si="18"/>
        <v>0</v>
      </c>
      <c r="G14" s="573">
        <f>BF14+AW14+BI14</f>
        <v>0</v>
      </c>
      <c r="H14" s="573">
        <f t="shared" si="0"/>
        <v>0</v>
      </c>
      <c r="I14" s="573">
        <f t="shared" si="1"/>
        <v>0</v>
      </c>
      <c r="J14" s="573">
        <f t="shared" si="1"/>
        <v>0</v>
      </c>
      <c r="K14" s="573">
        <f t="shared" si="2"/>
        <v>0</v>
      </c>
      <c r="L14" s="573">
        <f t="shared" si="3"/>
        <v>0</v>
      </c>
      <c r="M14" s="573">
        <f t="shared" si="3"/>
        <v>0</v>
      </c>
      <c r="N14" s="573">
        <f t="shared" si="3"/>
        <v>0</v>
      </c>
      <c r="O14" s="573">
        <f t="shared" si="3"/>
        <v>0</v>
      </c>
      <c r="P14" s="591"/>
      <c r="T14" s="573"/>
      <c r="U14" s="573">
        <f>$T14*'Wskaźniki emisji, założenia'!B4/1000000</f>
        <v>0</v>
      </c>
      <c r="V14" s="573">
        <f>$T14*'Wskaźniki emisji, założenia'!C4/1000000</f>
        <v>0</v>
      </c>
      <c r="W14" s="573">
        <f>$T14*'Wskaźniki emisji, założenia'!D4/1000000</f>
        <v>0</v>
      </c>
      <c r="X14" s="573">
        <f>$T14*'Wskaźniki emisji, założenia'!E4/1000000</f>
        <v>0</v>
      </c>
      <c r="Y14" s="573">
        <f>$T14*'Wskaźniki emisji, założenia'!F4/1000000</f>
        <v>0</v>
      </c>
      <c r="Z14" s="573">
        <f>$T14*'Wskaźniki emisji, założenia'!G4/1000000</f>
        <v>0</v>
      </c>
      <c r="AA14" s="573">
        <f>$T14*'Wskaźniki emisji, założenia'!H4/1000000</f>
        <v>0</v>
      </c>
      <c r="AB14" s="573">
        <f t="shared" si="4"/>
        <v>0</v>
      </c>
      <c r="AC14" s="573">
        <f>$AB$14*'Wskaźniki emisji, założenia'!B7/1000000</f>
        <v>0</v>
      </c>
      <c r="AD14" s="573">
        <v>0</v>
      </c>
      <c r="AE14" s="573">
        <v>0</v>
      </c>
      <c r="AF14" s="573">
        <v>0</v>
      </c>
      <c r="AG14" s="573">
        <v>0</v>
      </c>
      <c r="AH14" s="573">
        <v>0</v>
      </c>
      <c r="AI14" s="573">
        <v>0</v>
      </c>
      <c r="AK14" s="574"/>
      <c r="AL14" s="574"/>
      <c r="AM14" s="574"/>
      <c r="AN14" s="574"/>
      <c r="AO14" s="574"/>
      <c r="AP14" s="574"/>
      <c r="AQ14" s="574"/>
      <c r="AR14" s="574">
        <f t="shared" si="12"/>
        <v>0</v>
      </c>
      <c r="AS14" s="598">
        <f t="shared" si="13"/>
        <v>1</v>
      </c>
      <c r="AV14" s="406"/>
      <c r="AW14" s="573">
        <f t="shared" si="14"/>
        <v>0</v>
      </c>
      <c r="AX14" s="406"/>
      <c r="AY14" s="406"/>
      <c r="AZ14" s="406"/>
      <c r="BA14" s="406"/>
      <c r="BB14" s="3"/>
      <c r="BC14" s="3"/>
      <c r="BD14" s="3"/>
      <c r="BE14" s="573"/>
      <c r="BF14" s="573">
        <f t="shared" si="15"/>
        <v>0</v>
      </c>
      <c r="BG14" s="573">
        <f>BF14*'Wskaźniki emisji, założenia'!$C$72/3.6</f>
        <v>0</v>
      </c>
      <c r="BH14" s="558"/>
      <c r="BI14" s="558">
        <f t="shared" si="16"/>
        <v>0</v>
      </c>
    </row>
    <row r="15" spans="1:61" ht="25.5" hidden="1" customHeight="1">
      <c r="A15" s="597">
        <v>5</v>
      </c>
      <c r="B15" s="604"/>
      <c r="C15" s="603"/>
      <c r="D15" s="603"/>
      <c r="E15" s="573">
        <f t="shared" si="17"/>
        <v>0</v>
      </c>
      <c r="F15" s="573">
        <f t="shared" si="18"/>
        <v>0</v>
      </c>
      <c r="G15" s="573">
        <f>BF15+AW15+BI15</f>
        <v>0</v>
      </c>
      <c r="H15" s="573">
        <f t="shared" si="0"/>
        <v>0</v>
      </c>
      <c r="I15" s="573">
        <f t="shared" si="1"/>
        <v>0</v>
      </c>
      <c r="J15" s="573">
        <f t="shared" si="1"/>
        <v>0</v>
      </c>
      <c r="K15" s="573">
        <f t="shared" si="2"/>
        <v>0</v>
      </c>
      <c r="L15" s="573">
        <f t="shared" si="3"/>
        <v>0</v>
      </c>
      <c r="M15" s="573">
        <f t="shared" si="3"/>
        <v>0</v>
      </c>
      <c r="N15" s="573">
        <f t="shared" si="3"/>
        <v>0</v>
      </c>
      <c r="O15" s="573">
        <f t="shared" si="3"/>
        <v>0</v>
      </c>
      <c r="P15" s="591"/>
      <c r="T15" s="573"/>
      <c r="U15" s="573">
        <f>$T15*'Wskaźniki emisji, założenia'!B4/1000000</f>
        <v>0</v>
      </c>
      <c r="V15" s="573">
        <f>$T15*'Wskaźniki emisji, założenia'!C4/1000000</f>
        <v>0</v>
      </c>
      <c r="W15" s="573">
        <f>$T15*'Wskaźniki emisji, założenia'!D4/1000000</f>
        <v>0</v>
      </c>
      <c r="X15" s="573">
        <f>$T15*'Wskaźniki emisji, założenia'!E4/1000000</f>
        <v>0</v>
      </c>
      <c r="Y15" s="573">
        <f>$T15*'Wskaźniki emisji, założenia'!F4/1000000</f>
        <v>0</v>
      </c>
      <c r="Z15" s="573">
        <f>$T15*'Wskaźniki emisji, założenia'!G4/1000000</f>
        <v>0</v>
      </c>
      <c r="AA15" s="573">
        <f>$T15*'Wskaźniki emisji, założenia'!H4/1000000</f>
        <v>0</v>
      </c>
      <c r="AB15" s="573">
        <f t="shared" si="4"/>
        <v>0</v>
      </c>
      <c r="AC15" s="573">
        <f t="shared" si="4"/>
        <v>0</v>
      </c>
      <c r="AD15" s="573">
        <f t="shared" si="4"/>
        <v>0</v>
      </c>
      <c r="AE15" s="573">
        <f t="shared" si="4"/>
        <v>0</v>
      </c>
      <c r="AF15" s="573">
        <f t="shared" si="4"/>
        <v>0</v>
      </c>
      <c r="AG15" s="573">
        <f t="shared" si="4"/>
        <v>0</v>
      </c>
      <c r="AH15" s="573">
        <f t="shared" si="4"/>
        <v>0</v>
      </c>
      <c r="AI15" s="573">
        <f t="shared" si="4"/>
        <v>0</v>
      </c>
      <c r="AK15" s="574"/>
      <c r="AL15" s="574"/>
      <c r="AM15" s="574"/>
      <c r="AN15" s="574"/>
      <c r="AO15" s="574"/>
      <c r="AP15" s="574"/>
      <c r="AQ15" s="574"/>
      <c r="AR15" s="574">
        <f t="shared" si="12"/>
        <v>0</v>
      </c>
      <c r="AS15" s="598">
        <f t="shared" si="13"/>
        <v>1</v>
      </c>
      <c r="AV15" s="406"/>
      <c r="AW15" s="573">
        <f t="shared" si="14"/>
        <v>0</v>
      </c>
      <c r="AX15" s="406"/>
      <c r="AY15" s="406"/>
      <c r="AZ15" s="406"/>
      <c r="BA15" s="406"/>
      <c r="BB15" s="3"/>
      <c r="BC15" s="3"/>
      <c r="BD15" s="3"/>
      <c r="BE15" s="573"/>
      <c r="BF15" s="573">
        <f t="shared" si="15"/>
        <v>0</v>
      </c>
      <c r="BG15" s="573">
        <f>BF15*'Wskaźniki emisji, założenia'!$C$72/3.6</f>
        <v>0</v>
      </c>
      <c r="BH15" s="558"/>
      <c r="BI15" s="558">
        <f t="shared" si="16"/>
        <v>0</v>
      </c>
    </row>
    <row r="16" spans="1:61" s="554" customFormat="1" ht="21.75" customHeight="1">
      <c r="A16" s="862" t="s">
        <v>567</v>
      </c>
      <c r="B16" s="863"/>
      <c r="C16" s="609"/>
      <c r="D16" s="609"/>
      <c r="E16" s="573">
        <f t="shared" ref="E16:O16" si="35">SUM(E7:E15)</f>
        <v>4614.5089178744429</v>
      </c>
      <c r="F16" s="573">
        <f t="shared" si="35"/>
        <v>1281.8080327429007</v>
      </c>
      <c r="G16" s="573">
        <f t="shared" si="35"/>
        <v>0</v>
      </c>
      <c r="H16" s="573">
        <f t="shared" si="35"/>
        <v>0</v>
      </c>
      <c r="I16" s="573">
        <f t="shared" si="35"/>
        <v>0</v>
      </c>
      <c r="J16" s="573">
        <f t="shared" si="35"/>
        <v>0</v>
      </c>
      <c r="K16" s="573">
        <f t="shared" si="35"/>
        <v>563.67976836427374</v>
      </c>
      <c r="L16" s="573">
        <f t="shared" si="35"/>
        <v>0</v>
      </c>
      <c r="M16" s="573">
        <f t="shared" si="35"/>
        <v>0</v>
      </c>
      <c r="N16" s="573">
        <f t="shared" si="35"/>
        <v>0</v>
      </c>
      <c r="O16" s="573">
        <f t="shared" si="35"/>
        <v>0</v>
      </c>
      <c r="P16" s="591"/>
      <c r="Q16" s="591"/>
      <c r="R16" s="591"/>
      <c r="S16" s="591"/>
      <c r="T16" s="591"/>
      <c r="U16" s="591"/>
      <c r="V16" s="591"/>
      <c r="W16" s="591"/>
      <c r="X16" s="591"/>
      <c r="Y16" s="591"/>
      <c r="Z16" s="591"/>
      <c r="AA16" s="591"/>
      <c r="AB16" s="591"/>
      <c r="AC16" s="591"/>
      <c r="AD16" s="591"/>
      <c r="AE16" s="591"/>
      <c r="AF16" s="591"/>
      <c r="AG16" s="591"/>
      <c r="AH16" s="591"/>
      <c r="AI16" s="591"/>
      <c r="AJ16" s="591"/>
      <c r="AK16" s="591"/>
      <c r="AL16" s="577"/>
      <c r="AM16" s="577"/>
      <c r="AN16" s="577"/>
      <c r="AP16" s="577"/>
      <c r="AQ16" s="577"/>
      <c r="AT16" s="548"/>
      <c r="AU16" s="548"/>
    </row>
    <row r="17" spans="16:16">
      <c r="P17" s="591"/>
    </row>
  </sheetData>
  <mergeCells count="22">
    <mergeCell ref="A2:O2"/>
    <mergeCell ref="A3:A4"/>
    <mergeCell ref="B3:B4"/>
    <mergeCell ref="E3:E4"/>
    <mergeCell ref="F3:F4"/>
    <mergeCell ref="G3:H3"/>
    <mergeCell ref="I3:O3"/>
    <mergeCell ref="BF3:BF4"/>
    <mergeCell ref="BG3:BG4"/>
    <mergeCell ref="BH3:BH4"/>
    <mergeCell ref="BI3:BI4"/>
    <mergeCell ref="T3:T4"/>
    <mergeCell ref="U3:AA3"/>
    <mergeCell ref="AB3:AB4"/>
    <mergeCell ref="AC3:AI3"/>
    <mergeCell ref="AV3:AV4"/>
    <mergeCell ref="AW3:AW4"/>
    <mergeCell ref="A5:O5"/>
    <mergeCell ref="AX3:BD3"/>
    <mergeCell ref="BE3:BE4"/>
    <mergeCell ref="D7:D11"/>
    <mergeCell ref="A16:B16"/>
  </mergeCells>
  <phoneticPr fontId="75" type="noConversion"/>
  <pageMargins left="0.7" right="0.7" top="0.75" bottom="0.75" header="0.3" footer="0.3"/>
  <pageSetup paperSize="9" orientation="portrait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I46"/>
  <sheetViews>
    <sheetView zoomScaleNormal="100" workbookViewId="0">
      <pane xSplit="1" ySplit="5" topLeftCell="B21" activePane="bottomRight" state="frozen"/>
      <selection pane="topRight" activeCell="B1" sqref="B1"/>
      <selection pane="bottomLeft" activeCell="A6" sqref="A6"/>
      <selection pane="bottomRight" activeCell="D44" sqref="D44"/>
    </sheetView>
  </sheetViews>
  <sheetFormatPr defaultRowHeight="14.25"/>
  <cols>
    <col min="1" max="1" width="2.75" customWidth="1"/>
    <col min="2" max="2" width="41.125" customWidth="1"/>
    <col min="3" max="3" width="7" style="554" customWidth="1"/>
    <col min="4" max="4" width="11.625" style="554" customWidth="1"/>
    <col min="5" max="6" width="8.875" style="6" customWidth="1"/>
    <col min="7" max="7" width="8.75" customWidth="1"/>
    <col min="8" max="8" width="9.25" customWidth="1"/>
    <col min="9" max="9" width="7.25" customWidth="1"/>
    <col min="10" max="10" width="7.375" customWidth="1"/>
    <col min="11" max="11" width="9.125" customWidth="1"/>
    <col min="12" max="12" width="6.875" customWidth="1"/>
    <col min="13" max="14" width="7.5" bestFit="1" customWidth="1"/>
    <col min="15" max="15" width="8.75" bestFit="1" customWidth="1"/>
    <col min="16" max="16" width="7.375" customWidth="1"/>
    <col min="17" max="17" width="5.25" customWidth="1"/>
    <col min="18" max="18" width="10.75" customWidth="1"/>
    <col min="19" max="19" width="8.25" customWidth="1"/>
    <col min="20" max="20" width="12.75" customWidth="1"/>
    <col min="21" max="21" width="8" bestFit="1" customWidth="1"/>
    <col min="22" max="22" width="7.125" customWidth="1"/>
    <col min="23" max="23" width="6.75" customWidth="1"/>
    <col min="24" max="24" width="5.75" bestFit="1" customWidth="1"/>
    <col min="25" max="25" width="5.625" customWidth="1"/>
    <col min="26" max="26" width="7.125" customWidth="1"/>
    <col min="27" max="27" width="5" customWidth="1"/>
    <col min="28" max="28" width="11.125" customWidth="1"/>
    <col min="29" max="29" width="5" bestFit="1" customWidth="1"/>
    <col min="30" max="30" width="6.75" customWidth="1"/>
    <col min="31" max="31" width="5.875" customWidth="1"/>
    <col min="32" max="32" width="3.5" bestFit="1" customWidth="1"/>
    <col min="33" max="33" width="4.375" bestFit="1" customWidth="1"/>
    <col min="34" max="35" width="3.5" customWidth="1"/>
    <col min="36" max="36" width="2.5" customWidth="1"/>
    <col min="37" max="37" width="8.625" style="548" customWidth="1"/>
    <col min="38" max="38" width="6.125" style="548" customWidth="1"/>
    <col min="39" max="39" width="6.875" style="548" customWidth="1"/>
    <col min="40" max="40" width="8.5" style="548" customWidth="1"/>
    <col min="41" max="41" width="10.5" style="548" customWidth="1"/>
    <col min="42" max="42" width="9" style="548"/>
    <col min="43" max="43" width="8.125" style="548" customWidth="1"/>
    <col min="44" max="44" width="6.75" style="548" customWidth="1"/>
    <col min="45" max="45" width="10.75" style="548" customWidth="1"/>
    <col min="46" max="46" width="5.125" style="548" customWidth="1"/>
    <col min="47" max="47" width="5.625" style="548" bestFit="1" customWidth="1"/>
    <col min="48" max="48" width="7.625" style="548" customWidth="1"/>
    <col min="49" max="49" width="7.875" style="548" customWidth="1"/>
    <col min="50" max="50" width="5.625" style="548" bestFit="1" customWidth="1"/>
    <col min="51" max="51" width="5" style="548" bestFit="1" customWidth="1"/>
    <col min="52" max="52" width="6.375" style="548" bestFit="1" customWidth="1"/>
    <col min="53" max="53" width="4.125" style="548" bestFit="1" customWidth="1"/>
    <col min="54" max="56" width="4.125" bestFit="1" customWidth="1"/>
    <col min="57" max="57" width="9.875" bestFit="1" customWidth="1"/>
  </cols>
  <sheetData>
    <row r="1" spans="1:61" ht="15">
      <c r="B1" s="407" t="s">
        <v>728</v>
      </c>
      <c r="E1" s="595"/>
      <c r="F1" s="594"/>
      <c r="G1" s="594"/>
      <c r="H1" s="594"/>
      <c r="I1" s="594"/>
      <c r="J1" s="594"/>
      <c r="K1" s="594"/>
      <c r="L1" s="594"/>
      <c r="M1" s="594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7"/>
      <c r="AH1" s="547"/>
      <c r="AI1" s="547"/>
      <c r="AJ1" s="547"/>
      <c r="AK1" s="547"/>
      <c r="AL1" s="547"/>
      <c r="AM1" s="547"/>
      <c r="AN1" s="547"/>
      <c r="AO1" s="547"/>
    </row>
    <row r="2" spans="1:61" ht="15">
      <c r="A2" s="868" t="s">
        <v>471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69"/>
      <c r="O2" s="870"/>
      <c r="P2" s="590"/>
      <c r="Q2" s="590"/>
      <c r="AK2" s="549" t="s">
        <v>472</v>
      </c>
      <c r="AL2"/>
      <c r="AM2"/>
      <c r="AN2"/>
      <c r="AO2"/>
      <c r="AP2"/>
      <c r="AQ2"/>
      <c r="AR2"/>
      <c r="AS2"/>
      <c r="AV2" s="549" t="s">
        <v>507</v>
      </c>
    </row>
    <row r="3" spans="1:61" ht="48.75" customHeight="1">
      <c r="A3" s="871" t="s">
        <v>473</v>
      </c>
      <c r="B3" s="872" t="s">
        <v>474</v>
      </c>
      <c r="C3" s="873" t="s">
        <v>688</v>
      </c>
      <c r="D3" s="873" t="s">
        <v>695</v>
      </c>
      <c r="E3" s="873" t="s">
        <v>475</v>
      </c>
      <c r="F3" s="873" t="s">
        <v>560</v>
      </c>
      <c r="G3" s="873" t="s">
        <v>550</v>
      </c>
      <c r="H3" s="873"/>
      <c r="I3" s="894" t="s">
        <v>554</v>
      </c>
      <c r="J3" s="895"/>
      <c r="K3" s="895"/>
      <c r="L3" s="895"/>
      <c r="M3" s="895"/>
      <c r="N3" s="895"/>
      <c r="O3" s="896"/>
      <c r="P3" s="591"/>
      <c r="Q3" s="591"/>
      <c r="T3" s="864" t="s">
        <v>696</v>
      </c>
      <c r="U3" s="865" t="s">
        <v>555</v>
      </c>
      <c r="V3" s="866"/>
      <c r="W3" s="866"/>
      <c r="X3" s="866"/>
      <c r="Y3" s="866"/>
      <c r="Z3" s="866"/>
      <c r="AA3" s="867"/>
      <c r="AB3" s="864" t="s">
        <v>478</v>
      </c>
      <c r="AC3" s="865" t="s">
        <v>556</v>
      </c>
      <c r="AD3" s="866"/>
      <c r="AE3" s="866"/>
      <c r="AF3" s="866"/>
      <c r="AG3" s="866"/>
      <c r="AH3" s="866"/>
      <c r="AI3" s="867"/>
      <c r="AK3" s="550" t="s">
        <v>480</v>
      </c>
      <c r="AL3" s="550" t="s">
        <v>236</v>
      </c>
      <c r="AM3" s="550" t="s">
        <v>481</v>
      </c>
      <c r="AN3" s="550" t="s">
        <v>482</v>
      </c>
      <c r="AO3" s="550" t="s">
        <v>483</v>
      </c>
      <c r="AP3" s="550" t="s">
        <v>484</v>
      </c>
      <c r="AQ3" s="550" t="s">
        <v>485</v>
      </c>
      <c r="AR3" s="551" t="s">
        <v>486</v>
      </c>
      <c r="AS3" s="550" t="s">
        <v>487</v>
      </c>
      <c r="AV3" s="857" t="s">
        <v>557</v>
      </c>
      <c r="AW3" s="857" t="s">
        <v>476</v>
      </c>
      <c r="AX3" s="854" t="s">
        <v>508</v>
      </c>
      <c r="AY3" s="855"/>
      <c r="AZ3" s="855"/>
      <c r="BA3" s="855"/>
      <c r="BB3" s="855"/>
      <c r="BC3" s="855"/>
      <c r="BD3" s="856"/>
      <c r="BE3" s="857" t="s">
        <v>564</v>
      </c>
      <c r="BF3" s="857" t="s">
        <v>476</v>
      </c>
      <c r="BG3" s="857" t="s">
        <v>509</v>
      </c>
      <c r="BH3" s="857" t="s">
        <v>562</v>
      </c>
      <c r="BI3" s="857" t="s">
        <v>476</v>
      </c>
    </row>
    <row r="4" spans="1:61">
      <c r="A4" s="871"/>
      <c r="B4" s="872"/>
      <c r="C4" s="873"/>
      <c r="D4" s="873"/>
      <c r="E4" s="873"/>
      <c r="F4" s="873"/>
      <c r="G4" s="587" t="s">
        <v>551</v>
      </c>
      <c r="H4" s="587" t="s">
        <v>552</v>
      </c>
      <c r="I4" s="586" t="s">
        <v>66</v>
      </c>
      <c r="J4" s="586" t="s">
        <v>67</v>
      </c>
      <c r="K4" s="587" t="s">
        <v>100</v>
      </c>
      <c r="L4" s="586" t="s">
        <v>69</v>
      </c>
      <c r="M4" s="586" t="s">
        <v>198</v>
      </c>
      <c r="N4" s="586" t="s">
        <v>139</v>
      </c>
      <c r="O4" s="586" t="s">
        <v>72</v>
      </c>
      <c r="P4" s="591"/>
      <c r="Q4" s="557"/>
      <c r="T4" s="864"/>
      <c r="U4" s="567" t="s">
        <v>66</v>
      </c>
      <c r="V4" s="567" t="s">
        <v>67</v>
      </c>
      <c r="W4" s="568" t="s">
        <v>100</v>
      </c>
      <c r="X4" s="567" t="s">
        <v>69</v>
      </c>
      <c r="Y4" s="567" t="s">
        <v>198</v>
      </c>
      <c r="Z4" s="567" t="s">
        <v>139</v>
      </c>
      <c r="AA4" s="567" t="s">
        <v>72</v>
      </c>
      <c r="AB4" s="864"/>
      <c r="AC4" s="567" t="s">
        <v>66</v>
      </c>
      <c r="AD4" s="567" t="s">
        <v>67</v>
      </c>
      <c r="AE4" s="568" t="s">
        <v>100</v>
      </c>
      <c r="AF4" s="567" t="s">
        <v>69</v>
      </c>
      <c r="AG4" s="567" t="s">
        <v>198</v>
      </c>
      <c r="AH4" s="567" t="s">
        <v>139</v>
      </c>
      <c r="AI4" s="567" t="s">
        <v>72</v>
      </c>
      <c r="AK4" s="569" t="s">
        <v>488</v>
      </c>
      <c r="AL4" s="569" t="s">
        <v>489</v>
      </c>
      <c r="AM4" s="569" t="s">
        <v>490</v>
      </c>
      <c r="AN4" s="569" t="s">
        <v>491</v>
      </c>
      <c r="AO4" s="569" t="s">
        <v>488</v>
      </c>
      <c r="AP4" s="569" t="s">
        <v>491</v>
      </c>
      <c r="AQ4" s="569" t="s">
        <v>492</v>
      </c>
      <c r="AR4" s="570"/>
      <c r="AS4" s="571"/>
      <c r="AV4" s="858"/>
      <c r="AW4" s="858"/>
      <c r="AX4" s="555" t="s">
        <v>66</v>
      </c>
      <c r="AY4" s="555" t="s">
        <v>67</v>
      </c>
      <c r="AZ4" s="556" t="s">
        <v>100</v>
      </c>
      <c r="BA4" s="555" t="s">
        <v>69</v>
      </c>
      <c r="BB4" s="555" t="s">
        <v>198</v>
      </c>
      <c r="BC4" s="555" t="s">
        <v>139</v>
      </c>
      <c r="BD4" s="555" t="s">
        <v>72</v>
      </c>
      <c r="BE4" s="858"/>
      <c r="BF4" s="858"/>
      <c r="BG4" s="858"/>
      <c r="BH4" s="858"/>
      <c r="BI4" s="858"/>
    </row>
    <row r="5" spans="1:61">
      <c r="A5" s="851" t="s">
        <v>493</v>
      </c>
      <c r="B5" s="852"/>
      <c r="C5" s="852"/>
      <c r="D5" s="852"/>
      <c r="E5" s="852"/>
      <c r="F5" s="852"/>
      <c r="G5" s="852"/>
      <c r="H5" s="852"/>
      <c r="I5" s="852"/>
      <c r="J5" s="852"/>
      <c r="K5" s="852"/>
      <c r="L5" s="852"/>
      <c r="M5" s="852"/>
      <c r="N5" s="852"/>
      <c r="O5" s="853"/>
      <c r="P5" s="591"/>
      <c r="Q5" s="575"/>
      <c r="AA5" s="557"/>
      <c r="AB5" s="557"/>
      <c r="AC5" s="557"/>
      <c r="AD5" s="557"/>
      <c r="AE5" s="557"/>
      <c r="AF5" s="557"/>
      <c r="AG5" s="557"/>
      <c r="AH5" s="557"/>
      <c r="AI5" s="557"/>
      <c r="AK5" s="572"/>
      <c r="AL5" s="572"/>
      <c r="AM5" s="572"/>
      <c r="AN5" s="572"/>
      <c r="AO5" s="572"/>
      <c r="AP5" s="572"/>
      <c r="AQ5" s="572"/>
      <c r="AR5" s="572"/>
      <c r="AS5" s="572"/>
      <c r="BE5" s="548"/>
    </row>
    <row r="6" spans="1:61" ht="33.75">
      <c r="A6" s="597">
        <v>1</v>
      </c>
      <c r="B6" s="604" t="s">
        <v>701</v>
      </c>
      <c r="C6" s="621">
        <v>2021</v>
      </c>
      <c r="D6" s="859" t="s">
        <v>709</v>
      </c>
      <c r="E6" s="573">
        <f>T6-AB6</f>
        <v>1894.886242816</v>
      </c>
      <c r="F6" s="573">
        <f>E6/3.6</f>
        <v>526.35728967111106</v>
      </c>
      <c r="G6" s="573">
        <f>BF6+AW6</f>
        <v>0</v>
      </c>
      <c r="H6" s="573">
        <f t="shared" ref="H6:H9" si="0">G6/3.6*1000</f>
        <v>0</v>
      </c>
      <c r="I6" s="573">
        <f t="shared" ref="I6:J9" si="1">U6-AC6</f>
        <v>0.76553404209766418</v>
      </c>
      <c r="J6" s="573">
        <f t="shared" si="1"/>
        <v>0.75416472464076811</v>
      </c>
      <c r="K6" s="573">
        <f t="shared" ref="K6:K9" si="2">W6-AE6+BG6</f>
        <v>172.43464809625601</v>
      </c>
      <c r="L6" s="573">
        <f t="shared" ref="L6:O9" si="3">X6-AF6</f>
        <v>4.3582383584768003E-4</v>
      </c>
      <c r="M6" s="573">
        <f t="shared" si="3"/>
        <v>0.75795449712640006</v>
      </c>
      <c r="N6" s="573">
        <f t="shared" si="3"/>
        <v>0.20843748670976003</v>
      </c>
      <c r="O6" s="573">
        <f t="shared" si="3"/>
        <v>8.7164767169536006</v>
      </c>
      <c r="P6" s="591"/>
      <c r="T6" s="573">
        <v>4853.8</v>
      </c>
      <c r="U6" s="573">
        <f>$T$6*'Wskaźniki emisji, założenia'!B10/1000000</f>
        <v>1.9609352000000002</v>
      </c>
      <c r="V6" s="573">
        <f>$T$6*'Wskaźniki emisji, założenia'!C10/1000000</f>
        <v>1.9318124000000001</v>
      </c>
      <c r="W6" s="573">
        <f>$T$6*'Wskaźniki emisji, założenia'!D10/1000000</f>
        <v>441.69580000000002</v>
      </c>
      <c r="X6" s="573">
        <f>$T$6*'Wskaźniki emisji, założenia'!E10/1000000</f>
        <v>1.1163740000000001E-3</v>
      </c>
      <c r="Y6" s="573">
        <f>$T$6*'Wskaźniki emisji, założenia'!F10/1000000</f>
        <v>1.9415199999999999</v>
      </c>
      <c r="Z6" s="573">
        <f>$T$6*'Wskaźniki emisji, założenia'!G10/1000000</f>
        <v>0.533918</v>
      </c>
      <c r="AA6" s="573">
        <f>$T$6*'Wskaźniki emisji, założenia'!H10/1000000</f>
        <v>22.327480000000001</v>
      </c>
      <c r="AB6" s="573">
        <f t="shared" ref="AB6:AI9" si="4">(1-$AR6)*T6</f>
        <v>2958.9137571840001</v>
      </c>
      <c r="AC6" s="573">
        <f t="shared" si="4"/>
        <v>1.195401157902336</v>
      </c>
      <c r="AD6" s="573">
        <f t="shared" si="4"/>
        <v>1.177647675359232</v>
      </c>
      <c r="AE6" s="573">
        <f t="shared" si="4"/>
        <v>269.26115190374401</v>
      </c>
      <c r="AF6" s="573">
        <f t="shared" si="4"/>
        <v>6.8055016415232003E-4</v>
      </c>
      <c r="AG6" s="573">
        <f t="shared" si="4"/>
        <v>1.1835655028735999</v>
      </c>
      <c r="AH6" s="573">
        <f t="shared" si="4"/>
        <v>0.32548051329023997</v>
      </c>
      <c r="AI6" s="573">
        <f t="shared" si="4"/>
        <v>13.611003283046401</v>
      </c>
      <c r="AJ6" s="554"/>
      <c r="AK6" s="574">
        <v>0.12</v>
      </c>
      <c r="AL6" s="574">
        <v>0.18</v>
      </c>
      <c r="AM6" s="574">
        <v>0.04</v>
      </c>
      <c r="AN6" s="574">
        <v>0.12</v>
      </c>
      <c r="AO6" s="574">
        <v>0</v>
      </c>
      <c r="AP6" s="574">
        <v>0</v>
      </c>
      <c r="AQ6" s="574">
        <v>0</v>
      </c>
      <c r="AR6" s="574">
        <f t="shared" ref="AR6:AR9" si="5">100%-(100%-AK6)*(100%-AL6)*(100%-AM6)*(100%-AN6)*(100%-AO6)*(100%-AP6)*(100%-AQ6)</f>
        <v>0.39039232000000001</v>
      </c>
      <c r="AS6" s="598">
        <f t="shared" ref="AS6:AS9" si="6">100%-AR6</f>
        <v>0.60960767999999999</v>
      </c>
      <c r="AV6" s="573"/>
      <c r="AW6" s="573">
        <f t="shared" ref="AW6:AW9" si="7">AV6*520*3.6/1000</f>
        <v>0</v>
      </c>
      <c r="AX6" s="573"/>
      <c r="AY6" s="573"/>
      <c r="AZ6" s="573"/>
      <c r="BA6" s="573"/>
      <c r="BB6" s="573"/>
      <c r="BC6" s="573"/>
      <c r="BD6" s="573"/>
      <c r="BE6" s="573"/>
      <c r="BF6" s="573">
        <f t="shared" ref="BF6:BF9" si="8">BE6*1*3.6</f>
        <v>0</v>
      </c>
      <c r="BG6" s="573">
        <f>BF6*'Wskaźniki emisji, założenia'!$C$72/3.6</f>
        <v>0</v>
      </c>
      <c r="BH6" s="3"/>
      <c r="BI6" s="558">
        <f t="shared" ref="BI6:BI9" si="9">BH6*1.25*3.6</f>
        <v>0</v>
      </c>
    </row>
    <row r="7" spans="1:61" ht="33.75">
      <c r="A7" s="597">
        <v>2</v>
      </c>
      <c r="B7" s="604" t="s">
        <v>702</v>
      </c>
      <c r="C7" s="621">
        <v>2021</v>
      </c>
      <c r="D7" s="860"/>
      <c r="E7" s="573">
        <f t="shared" ref="E7:E9" si="10">T7-AB7</f>
        <v>714.20174812300661</v>
      </c>
      <c r="F7" s="573">
        <f t="shared" ref="F7:F9" si="11">E7/3.6</f>
        <v>198.38937447861295</v>
      </c>
      <c r="G7" s="573">
        <f>BF7+AW7+BI7</f>
        <v>0</v>
      </c>
      <c r="H7" s="573">
        <f t="shared" si="0"/>
        <v>0</v>
      </c>
      <c r="I7" s="573">
        <f t="shared" si="1"/>
        <v>0.45493756715754935</v>
      </c>
      <c r="J7" s="573">
        <f t="shared" si="1"/>
        <v>0.44818106863540752</v>
      </c>
      <c r="K7" s="573">
        <f t="shared" si="2"/>
        <v>63.863804210605878</v>
      </c>
      <c r="L7" s="573">
        <f t="shared" si="3"/>
        <v>2.5899911001543653E-4</v>
      </c>
      <c r="M7" s="573">
        <f t="shared" si="3"/>
        <v>0.4504332348094548</v>
      </c>
      <c r="N7" s="573">
        <f t="shared" si="3"/>
        <v>0.12386913957260008</v>
      </c>
      <c r="O7" s="573">
        <f t="shared" si="3"/>
        <v>5.1799822003087312</v>
      </c>
      <c r="P7" s="591"/>
      <c r="T7" s="573">
        <v>1126.0830870236371</v>
      </c>
      <c r="U7" s="573">
        <f>$T$7*'Wskaźniki emisji, założenia'!B10/1000000</f>
        <v>0.45493756715754935</v>
      </c>
      <c r="V7" s="573">
        <f>$T$7*'Wskaźniki emisji, założenia'!C10/1000000</f>
        <v>0.44818106863540752</v>
      </c>
      <c r="W7" s="573">
        <f>$T$7*'Wskaźniki emisji, założenia'!D10/1000000</f>
        <v>102.47356091915098</v>
      </c>
      <c r="X7" s="573">
        <f>$T$7*'Wskaźniki emisji, założenia'!E10/1000000</f>
        <v>2.5899911001543653E-4</v>
      </c>
      <c r="Y7" s="573">
        <f>$T$7*'Wskaźniki emisji, założenia'!F10/1000000</f>
        <v>0.4504332348094548</v>
      </c>
      <c r="Z7" s="573">
        <f>$T$7*'Wskaźniki emisji, założenia'!G10/1000000</f>
        <v>0.12386913957260008</v>
      </c>
      <c r="AA7" s="573">
        <f>$T$7*'Wskaźniki emisji, założenia'!H10/1000000</f>
        <v>5.1799822003087312</v>
      </c>
      <c r="AB7" s="573">
        <f t="shared" si="4"/>
        <v>411.88133890063051</v>
      </c>
      <c r="AC7" s="573">
        <f>$AB$7*'Wskaźniki emisji, założenia'!B7/1000000</f>
        <v>0</v>
      </c>
      <c r="AD7" s="573">
        <f>$AB$7*'Wskaźniki emisji, założenia'!C7/1000000</f>
        <v>0</v>
      </c>
      <c r="AE7" s="573">
        <f>$AB$7*'Wskaźniki emisji, założenia'!D7/1000000</f>
        <v>38.609756708545106</v>
      </c>
      <c r="AF7" s="573">
        <f>$AB$7*'Wskaźniki emisji, założenia'!E7/1000000</f>
        <v>0</v>
      </c>
      <c r="AG7" s="573">
        <f>$AB$7*'Wskaźniki emisji, założenia'!F7/1000000</f>
        <v>0</v>
      </c>
      <c r="AH7" s="573">
        <f>$AB$7*'Wskaźniki emisji, założenia'!G7/1000000</f>
        <v>0</v>
      </c>
      <c r="AI7" s="573">
        <f>$AB$7*'Wskaźniki emisji, założenia'!H7/1000000</f>
        <v>0</v>
      </c>
      <c r="AK7" s="574">
        <v>0.12</v>
      </c>
      <c r="AL7" s="574">
        <v>0.18</v>
      </c>
      <c r="AM7" s="574">
        <v>0.04</v>
      </c>
      <c r="AN7" s="574">
        <v>0.12</v>
      </c>
      <c r="AO7" s="574">
        <v>0</v>
      </c>
      <c r="AP7" s="574">
        <v>0</v>
      </c>
      <c r="AQ7" s="574">
        <v>0.4</v>
      </c>
      <c r="AR7" s="574">
        <f t="shared" si="5"/>
        <v>0.63423539200000001</v>
      </c>
      <c r="AS7" s="598">
        <f t="shared" si="6"/>
        <v>0.36576460799999999</v>
      </c>
      <c r="AV7" s="406"/>
      <c r="AW7" s="573">
        <f t="shared" si="7"/>
        <v>0</v>
      </c>
      <c r="AX7" s="406"/>
      <c r="AY7" s="406"/>
      <c r="AZ7" s="406"/>
      <c r="BA7" s="406"/>
      <c r="BB7" s="3"/>
      <c r="BC7" s="3"/>
      <c r="BD7" s="3"/>
      <c r="BE7" s="573"/>
      <c r="BF7" s="573">
        <f t="shared" si="8"/>
        <v>0</v>
      </c>
      <c r="BG7" s="573">
        <f>BF7*'Wskaźniki emisji, założenia'!$C$72/3.6</f>
        <v>0</v>
      </c>
      <c r="BH7" s="558"/>
      <c r="BI7" s="558">
        <f t="shared" si="9"/>
        <v>0</v>
      </c>
    </row>
    <row r="8" spans="1:61" ht="33.75">
      <c r="A8" s="597">
        <v>3</v>
      </c>
      <c r="B8" s="604" t="s">
        <v>711</v>
      </c>
      <c r="C8" s="621">
        <v>2022</v>
      </c>
      <c r="D8" s="859" t="s">
        <v>708</v>
      </c>
      <c r="E8" s="573">
        <f t="shared" si="10"/>
        <v>4049.7835305600011</v>
      </c>
      <c r="F8" s="573">
        <f t="shared" si="11"/>
        <v>1124.9398696000003</v>
      </c>
      <c r="G8" s="573">
        <f>BF8+AW8+BI8</f>
        <v>0</v>
      </c>
      <c r="H8" s="573">
        <f t="shared" si="0"/>
        <v>0</v>
      </c>
      <c r="I8" s="573">
        <f t="shared" si="1"/>
        <v>0</v>
      </c>
      <c r="J8" s="573">
        <f t="shared" si="1"/>
        <v>0</v>
      </c>
      <c r="K8" s="573">
        <f t="shared" si="2"/>
        <v>379.62670815469448</v>
      </c>
      <c r="L8" s="573">
        <f t="shared" si="3"/>
        <v>0</v>
      </c>
      <c r="M8" s="573">
        <f t="shared" si="3"/>
        <v>0</v>
      </c>
      <c r="N8" s="573">
        <f t="shared" si="3"/>
        <v>0</v>
      </c>
      <c r="O8" s="573">
        <f t="shared" si="3"/>
        <v>0</v>
      </c>
      <c r="P8" s="591"/>
      <c r="T8" s="573">
        <v>10373.625000000002</v>
      </c>
      <c r="U8" s="573"/>
      <c r="V8" s="573"/>
      <c r="W8" s="573">
        <f>$T8*'Wskaźniki emisji, założenia'!$D$7/1000000</f>
        <v>972.42360750000012</v>
      </c>
      <c r="X8" s="573"/>
      <c r="Y8" s="573"/>
      <c r="Z8" s="573"/>
      <c r="AA8" s="573"/>
      <c r="AB8" s="573">
        <f t="shared" si="4"/>
        <v>6323.8414694400008</v>
      </c>
      <c r="AC8" s="573">
        <f t="shared" si="4"/>
        <v>0</v>
      </c>
      <c r="AD8" s="573">
        <f t="shared" si="4"/>
        <v>0</v>
      </c>
      <c r="AE8" s="573">
        <f t="shared" si="4"/>
        <v>592.79689934530563</v>
      </c>
      <c r="AF8" s="573">
        <f t="shared" si="4"/>
        <v>0</v>
      </c>
      <c r="AG8" s="573">
        <f t="shared" si="4"/>
        <v>0</v>
      </c>
      <c r="AH8" s="573">
        <f t="shared" si="4"/>
        <v>0</v>
      </c>
      <c r="AI8" s="573">
        <f t="shared" si="4"/>
        <v>0</v>
      </c>
      <c r="AK8" s="574">
        <v>0.12</v>
      </c>
      <c r="AL8" s="574">
        <v>0.18</v>
      </c>
      <c r="AM8" s="574">
        <v>0.04</v>
      </c>
      <c r="AN8" s="574">
        <v>0.12</v>
      </c>
      <c r="AO8" s="574">
        <v>0</v>
      </c>
      <c r="AP8" s="574">
        <v>0</v>
      </c>
      <c r="AQ8" s="574">
        <v>0</v>
      </c>
      <c r="AR8" s="574">
        <f t="shared" si="5"/>
        <v>0.39039232000000001</v>
      </c>
      <c r="AS8" s="598">
        <f t="shared" si="6"/>
        <v>0.60960767999999999</v>
      </c>
      <c r="AV8" s="406"/>
      <c r="AW8" s="573">
        <f t="shared" si="7"/>
        <v>0</v>
      </c>
      <c r="AX8" s="406"/>
      <c r="AY8" s="406"/>
      <c r="AZ8" s="406"/>
      <c r="BA8" s="406"/>
      <c r="BB8" s="3"/>
      <c r="BC8" s="3"/>
      <c r="BD8" s="3"/>
      <c r="BE8" s="573"/>
      <c r="BF8" s="573">
        <f t="shared" si="8"/>
        <v>0</v>
      </c>
      <c r="BG8" s="573">
        <f>BF8*'Wskaźniki emisji, założenia'!$C$72/3.6</f>
        <v>0</v>
      </c>
      <c r="BH8" s="558"/>
      <c r="BI8" s="558">
        <f t="shared" si="9"/>
        <v>0</v>
      </c>
    </row>
    <row r="9" spans="1:61" ht="22.5">
      <c r="A9" s="597">
        <v>4</v>
      </c>
      <c r="B9" s="604" t="s">
        <v>707</v>
      </c>
      <c r="C9" s="621">
        <v>2022</v>
      </c>
      <c r="D9" s="861"/>
      <c r="E9" s="573">
        <f t="shared" si="10"/>
        <v>341.74404951398401</v>
      </c>
      <c r="F9" s="573">
        <f t="shared" si="11"/>
        <v>94.928902642773338</v>
      </c>
      <c r="G9" s="573">
        <f>BF9+AW9+BI9</f>
        <v>0</v>
      </c>
      <c r="H9" s="573">
        <f t="shared" si="0"/>
        <v>0</v>
      </c>
      <c r="I9" s="573">
        <f t="shared" si="1"/>
        <v>0.13806459600364954</v>
      </c>
      <c r="J9" s="573">
        <f t="shared" si="1"/>
        <v>0.13601413170656562</v>
      </c>
      <c r="K9" s="573">
        <f t="shared" si="2"/>
        <v>31.098708505772542</v>
      </c>
      <c r="L9" s="573">
        <f t="shared" si="3"/>
        <v>7.8601131388216308E-5</v>
      </c>
      <c r="M9" s="573">
        <f t="shared" si="3"/>
        <v>0.13669761980559361</v>
      </c>
      <c r="N9" s="573">
        <f t="shared" si="3"/>
        <v>3.7591845446538236E-2</v>
      </c>
      <c r="O9" s="573">
        <f t="shared" si="3"/>
        <v>1.5720226277643263</v>
      </c>
      <c r="P9" s="591"/>
      <c r="T9" s="573">
        <v>875.38619999999992</v>
      </c>
      <c r="U9" s="573">
        <f>$T$9*'Wskaźniki emisji, założenia'!B10/1000000</f>
        <v>0.35365602479999997</v>
      </c>
      <c r="V9" s="573">
        <f>$T$9*'Wskaźniki emisji, założenia'!C10/1000000</f>
        <v>0.34840370759999995</v>
      </c>
      <c r="W9" s="573">
        <f>$T$9*'Wskaźniki emisji, założenia'!D10/1000000</f>
        <v>79.660144199999991</v>
      </c>
      <c r="X9" s="573">
        <f>$T$9*'Wskaźniki emisji, założenia'!E10/1000000</f>
        <v>2.01338826E-4</v>
      </c>
      <c r="Y9" s="573">
        <f>$T$9*'Wskaźniki emisji, założenia'!F10/1000000</f>
        <v>0.35015447999999999</v>
      </c>
      <c r="Z9" s="573">
        <f>$T$9*'Wskaźniki emisji, założenia'!G10/1000000</f>
        <v>9.6292481999999985E-2</v>
      </c>
      <c r="AA9" s="573">
        <f>$T$9*'Wskaźniki emisji, założenia'!H10/1000000</f>
        <v>4.0267765199999994</v>
      </c>
      <c r="AB9" s="573">
        <f t="shared" si="4"/>
        <v>533.64215048601591</v>
      </c>
      <c r="AC9" s="573">
        <f t="shared" si="4"/>
        <v>0.21559142879635043</v>
      </c>
      <c r="AD9" s="573">
        <f t="shared" si="4"/>
        <v>0.21238957589343432</v>
      </c>
      <c r="AE9" s="573">
        <f t="shared" si="4"/>
        <v>48.561435694227448</v>
      </c>
      <c r="AF9" s="573">
        <f t="shared" si="4"/>
        <v>1.2273769461178369E-4</v>
      </c>
      <c r="AG9" s="573">
        <f t="shared" si="4"/>
        <v>0.21345686019440638</v>
      </c>
      <c r="AH9" s="573">
        <f t="shared" si="4"/>
        <v>5.8700636553461749E-2</v>
      </c>
      <c r="AI9" s="573">
        <f t="shared" si="4"/>
        <v>2.4547538922356731</v>
      </c>
      <c r="AK9" s="574">
        <v>0.12</v>
      </c>
      <c r="AL9" s="574">
        <v>0.18</v>
      </c>
      <c r="AM9" s="574">
        <v>0.04</v>
      </c>
      <c r="AN9" s="574">
        <v>0.12</v>
      </c>
      <c r="AO9" s="574">
        <v>0</v>
      </c>
      <c r="AP9" s="574">
        <v>0</v>
      </c>
      <c r="AQ9" s="574">
        <v>0</v>
      </c>
      <c r="AR9" s="574">
        <f t="shared" si="5"/>
        <v>0.39039232000000001</v>
      </c>
      <c r="AS9" s="598">
        <f t="shared" si="6"/>
        <v>0.60960767999999999</v>
      </c>
      <c r="AV9" s="406"/>
      <c r="AW9" s="573">
        <f t="shared" si="7"/>
        <v>0</v>
      </c>
      <c r="AX9" s="406"/>
      <c r="AY9" s="406"/>
      <c r="AZ9" s="406"/>
      <c r="BA9" s="406"/>
      <c r="BB9" s="3"/>
      <c r="BC9" s="3"/>
      <c r="BD9" s="3"/>
      <c r="BE9" s="573"/>
      <c r="BF9" s="573">
        <f t="shared" si="8"/>
        <v>0</v>
      </c>
      <c r="BG9" s="573">
        <f>BF9*'Wskaźniki emisji, założenia'!$C$72/3.6</f>
        <v>0</v>
      </c>
      <c r="BH9" s="558"/>
      <c r="BI9" s="558">
        <f t="shared" si="9"/>
        <v>0</v>
      </c>
    </row>
    <row r="10" spans="1:61" ht="72">
      <c r="A10" s="597">
        <v>5</v>
      </c>
      <c r="B10" s="622" t="s">
        <v>714</v>
      </c>
      <c r="C10" s="621">
        <v>2023</v>
      </c>
      <c r="D10" s="623" t="s">
        <v>712</v>
      </c>
      <c r="E10" s="573">
        <f t="shared" ref="E10" si="12">T10-AB10</f>
        <v>206.48250000000007</v>
      </c>
      <c r="F10" s="573">
        <f t="shared" ref="F10" si="13">E10/3.6</f>
        <v>57.356250000000017</v>
      </c>
      <c r="G10" s="573">
        <f>BF10+AW10+BI10</f>
        <v>0</v>
      </c>
      <c r="H10" s="573">
        <f t="shared" ref="H10" si="14">G10/3.6*1000</f>
        <v>0</v>
      </c>
      <c r="I10" s="573">
        <f t="shared" ref="I10" si="15">U10-AC10</f>
        <v>0</v>
      </c>
      <c r="J10" s="573">
        <f t="shared" ref="J10" si="16">V10-AD10</f>
        <v>0</v>
      </c>
      <c r="K10" s="573">
        <f t="shared" ref="K10" si="17">W10-AE10+BG10</f>
        <v>19.355669550000002</v>
      </c>
      <c r="L10" s="573">
        <f t="shared" ref="L10" si="18">X10-AF10</f>
        <v>0</v>
      </c>
      <c r="M10" s="573">
        <f t="shared" ref="M10" si="19">Y10-AG10</f>
        <v>0</v>
      </c>
      <c r="N10" s="573">
        <f t="shared" ref="N10" si="20">Z10-AH10</f>
        <v>0</v>
      </c>
      <c r="O10" s="573">
        <f t="shared" ref="O10" si="21">AA10-AI10</f>
        <v>0</v>
      </c>
      <c r="P10" s="591"/>
      <c r="T10" s="573">
        <f>38*11.5*3.5*0.9</f>
        <v>1376.55</v>
      </c>
      <c r="U10" s="573"/>
      <c r="V10" s="573"/>
      <c r="W10" s="573">
        <f>$T10*'Wskaźniki emisji, założenia'!$D$7/1000000</f>
        <v>129.03779700000001</v>
      </c>
      <c r="X10" s="573"/>
      <c r="Y10" s="573"/>
      <c r="Z10" s="573"/>
      <c r="AA10" s="573"/>
      <c r="AB10" s="573">
        <f t="shared" ref="AB10" si="22">(1-$AR10)*T10</f>
        <v>1170.0674999999999</v>
      </c>
      <c r="AC10" s="573">
        <f t="shared" ref="AC10" si="23">(1-$AR10)*U10</f>
        <v>0</v>
      </c>
      <c r="AD10" s="573">
        <f t="shared" ref="AD10" si="24">(1-$AR10)*V10</f>
        <v>0</v>
      </c>
      <c r="AE10" s="573">
        <f t="shared" ref="AE10" si="25">(1-$AR10)*W10</f>
        <v>109.68212745000001</v>
      </c>
      <c r="AF10" s="573">
        <f t="shared" ref="AF10" si="26">(1-$AR10)*X10</f>
        <v>0</v>
      </c>
      <c r="AG10" s="573">
        <f t="shared" ref="AG10" si="27">(1-$AR10)*Y10</f>
        <v>0</v>
      </c>
      <c r="AH10" s="573">
        <f t="shared" ref="AH10" si="28">(1-$AR10)*Z10</f>
        <v>0</v>
      </c>
      <c r="AI10" s="573">
        <f t="shared" ref="AI10" si="29">(1-$AR10)*AA10</f>
        <v>0</v>
      </c>
      <c r="AK10" s="574"/>
      <c r="AL10" s="574"/>
      <c r="AM10" s="574"/>
      <c r="AN10" s="574">
        <v>0.15</v>
      </c>
      <c r="AO10" s="574"/>
      <c r="AP10" s="574"/>
      <c r="AQ10" s="574"/>
      <c r="AR10" s="574">
        <f t="shared" ref="AR10" si="30">100%-(100%-AK10)*(100%-AL10)*(100%-AM10)*(100%-AN10)*(100%-AO10)*(100%-AP10)*(100%-AQ10)</f>
        <v>0.15000000000000002</v>
      </c>
      <c r="AS10" s="598">
        <f t="shared" ref="AS10" si="31">100%-AR10</f>
        <v>0.85</v>
      </c>
      <c r="AW10" s="575"/>
      <c r="BE10" s="575"/>
      <c r="BF10" s="575"/>
      <c r="BG10" s="575"/>
      <c r="BH10" s="559"/>
      <c r="BI10" s="559"/>
    </row>
    <row r="11" spans="1:61" ht="22.5">
      <c r="A11" s="642">
        <v>6</v>
      </c>
      <c r="B11" s="644" t="s">
        <v>731</v>
      </c>
      <c r="C11" s="643">
        <v>2024</v>
      </c>
      <c r="D11" s="639"/>
      <c r="E11" s="645">
        <f>F11*3.6</f>
        <v>12.92976</v>
      </c>
      <c r="F11" s="645">
        <f>W13</f>
        <v>3.5915999999999997</v>
      </c>
      <c r="G11" s="573">
        <v>0</v>
      </c>
      <c r="H11" s="573">
        <v>0</v>
      </c>
      <c r="I11" s="573">
        <v>0</v>
      </c>
      <c r="J11" s="573">
        <v>0</v>
      </c>
      <c r="K11" s="573">
        <f>X13</f>
        <v>2.9163791999999997</v>
      </c>
      <c r="L11" s="573">
        <v>0</v>
      </c>
      <c r="M11" s="573">
        <v>0</v>
      </c>
      <c r="N11" s="573">
        <v>0</v>
      </c>
      <c r="O11" s="573">
        <v>0</v>
      </c>
      <c r="P11" s="591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/>
      <c r="AK11" s="640"/>
      <c r="AL11" s="640"/>
      <c r="AM11" s="640"/>
      <c r="AN11" s="640"/>
      <c r="AO11" s="640"/>
      <c r="AP11" s="640"/>
      <c r="AQ11" s="640"/>
      <c r="AR11" s="640"/>
      <c r="AS11" s="641"/>
      <c r="AW11" s="575"/>
      <c r="BE11" s="575"/>
      <c r="BF11" s="575"/>
      <c r="BG11" s="575"/>
      <c r="BH11" s="559"/>
      <c r="BI11" s="559"/>
    </row>
    <row r="12" spans="1:61" ht="33.75">
      <c r="A12" s="642">
        <v>7</v>
      </c>
      <c r="B12" s="644" t="s">
        <v>733</v>
      </c>
      <c r="C12" s="638">
        <v>2024</v>
      </c>
      <c r="D12" s="639"/>
      <c r="E12" s="645">
        <f>F12*3.6</f>
        <v>3871.5214464000001</v>
      </c>
      <c r="F12" s="645">
        <f>W14</f>
        <v>1075.422624</v>
      </c>
      <c r="G12" s="573">
        <v>0</v>
      </c>
      <c r="H12" s="573">
        <v>0</v>
      </c>
      <c r="I12" s="573">
        <v>0</v>
      </c>
      <c r="J12" s="573">
        <v>0</v>
      </c>
      <c r="K12" s="573">
        <f>X14</f>
        <v>873.24317068800008</v>
      </c>
      <c r="L12" s="573">
        <v>0</v>
      </c>
      <c r="M12" s="573">
        <v>0</v>
      </c>
      <c r="N12" s="573">
        <v>0</v>
      </c>
      <c r="O12" s="573">
        <v>0</v>
      </c>
      <c r="P12" s="591"/>
      <c r="R12" s="592" t="s">
        <v>561</v>
      </c>
      <c r="S12" s="235" t="s">
        <v>505</v>
      </c>
      <c r="T12" s="235" t="s">
        <v>503</v>
      </c>
      <c r="U12" s="235" t="s">
        <v>501</v>
      </c>
      <c r="V12" s="235" t="s">
        <v>506</v>
      </c>
      <c r="W12" s="235" t="s">
        <v>502</v>
      </c>
      <c r="X12" s="235" t="s">
        <v>548</v>
      </c>
      <c r="Y12" s="575"/>
      <c r="Z12" s="575"/>
      <c r="AA12" s="575"/>
      <c r="AB12" s="575"/>
      <c r="AC12" s="575"/>
      <c r="AD12" s="575"/>
      <c r="AE12" s="575"/>
      <c r="AF12" s="575"/>
      <c r="AG12" s="575"/>
      <c r="AH12" s="575"/>
      <c r="AI12" s="575"/>
      <c r="AK12" s="640"/>
      <c r="AL12" s="640"/>
      <c r="AM12" s="640"/>
      <c r="AN12" s="640"/>
      <c r="AO12" s="640"/>
      <c r="AP12" s="640"/>
      <c r="AQ12" s="640"/>
      <c r="AR12" s="640"/>
      <c r="AS12" s="641"/>
      <c r="AW12" s="575"/>
      <c r="BE12" s="575"/>
      <c r="BF12" s="575"/>
      <c r="BG12" s="575"/>
      <c r="BH12" s="559"/>
      <c r="BI12" s="559"/>
    </row>
    <row r="13" spans="1:61" s="554" customFormat="1" ht="21.75" customHeight="1">
      <c r="A13" s="862" t="s">
        <v>567</v>
      </c>
      <c r="B13" s="863"/>
      <c r="C13" s="609"/>
      <c r="D13" s="609"/>
      <c r="E13" s="645">
        <f>SUM(E6:E12)</f>
        <v>11091.549277412993</v>
      </c>
      <c r="F13" s="645">
        <f>SUM(F6:F12)</f>
        <v>3080.9859103924978</v>
      </c>
      <c r="G13" s="645">
        <f>SUM(G6:G12)</f>
        <v>0</v>
      </c>
      <c r="H13" s="645">
        <f t="shared" ref="H13:O13" si="32">SUM(H6:H12)</f>
        <v>0</v>
      </c>
      <c r="I13" s="645">
        <f t="shared" si="32"/>
        <v>1.358536205258863</v>
      </c>
      <c r="J13" s="645">
        <f t="shared" si="32"/>
        <v>1.3383599249827411</v>
      </c>
      <c r="K13" s="645">
        <f>SUM(K6:K12)</f>
        <v>1542.539088405329</v>
      </c>
      <c r="L13" s="645">
        <f t="shared" si="32"/>
        <v>7.7342407725133292E-4</v>
      </c>
      <c r="M13" s="645">
        <f t="shared" si="32"/>
        <v>1.3450853517414485</v>
      </c>
      <c r="N13" s="645">
        <f t="shared" si="32"/>
        <v>0.36989847172889834</v>
      </c>
      <c r="O13" s="645">
        <f t="shared" si="32"/>
        <v>15.468481545026659</v>
      </c>
      <c r="P13" s="591"/>
      <c r="Q13" s="573" t="s">
        <v>732</v>
      </c>
      <c r="R13" s="573">
        <f>(8*70+6*150)*4100/1000000</f>
        <v>5.9859999999999998</v>
      </c>
      <c r="S13" s="573">
        <f>1</f>
        <v>1</v>
      </c>
      <c r="T13" s="573" t="s">
        <v>504</v>
      </c>
      <c r="U13" s="573">
        <v>0.6</v>
      </c>
      <c r="V13" s="573">
        <f>S13*R13</f>
        <v>5.9859999999999998</v>
      </c>
      <c r="W13" s="573">
        <f>U13*V13</f>
        <v>3.5915999999999997</v>
      </c>
      <c r="X13" s="573">
        <f>W13*'Wskaźniki emisji, założenia'!C72</f>
        <v>2.9163791999999997</v>
      </c>
      <c r="Y13"/>
      <c r="Z13"/>
      <c r="AA13"/>
      <c r="AB13"/>
      <c r="AC13"/>
      <c r="AK13" s="576"/>
      <c r="AL13" s="577"/>
      <c r="AM13" s="577"/>
      <c r="AN13" s="577"/>
      <c r="AP13" s="577"/>
      <c r="AQ13" s="577"/>
      <c r="AT13" s="548"/>
      <c r="AU13" s="548"/>
    </row>
    <row r="14" spans="1:61" ht="14.25" customHeight="1">
      <c r="A14" s="882" t="s">
        <v>494</v>
      </c>
      <c r="B14" s="883"/>
      <c r="C14" s="883"/>
      <c r="D14" s="883"/>
      <c r="E14" s="883"/>
      <c r="F14" s="883"/>
      <c r="G14" s="883"/>
      <c r="H14" s="883"/>
      <c r="I14" s="883"/>
      <c r="J14" s="883"/>
      <c r="K14" s="883"/>
      <c r="L14" s="883"/>
      <c r="M14" s="883"/>
      <c r="N14" s="883"/>
      <c r="O14" s="884"/>
      <c r="P14" s="591"/>
      <c r="Q14" s="645" t="s">
        <v>734</v>
      </c>
      <c r="R14" s="645">
        <f>496.41/1000</f>
        <v>0.49641000000000002</v>
      </c>
      <c r="S14" s="645">
        <v>1354</v>
      </c>
      <c r="T14" s="645" t="s">
        <v>504</v>
      </c>
      <c r="U14" s="645">
        <v>1.6</v>
      </c>
      <c r="V14" s="645">
        <f>S14*R14</f>
        <v>672.13914</v>
      </c>
      <c r="W14" s="645">
        <f>U14*V14</f>
        <v>1075.422624</v>
      </c>
      <c r="X14" s="645">
        <f>W14*'Wskaźniki emisji, założenia'!C72</f>
        <v>873.24317068800008</v>
      </c>
      <c r="AK14" s="578"/>
      <c r="AL14" s="579"/>
      <c r="AM14" s="579"/>
      <c r="AN14" s="579"/>
      <c r="AO14" s="572"/>
      <c r="AP14" s="579"/>
      <c r="AQ14" s="579"/>
      <c r="AR14" s="572"/>
      <c r="AS14" s="572"/>
    </row>
    <row r="15" spans="1:61" ht="15" hidden="1">
      <c r="A15" s="885"/>
      <c r="B15" s="886"/>
      <c r="C15" s="886"/>
      <c r="D15" s="886"/>
      <c r="E15" s="886"/>
      <c r="F15" s="886"/>
      <c r="G15" s="886"/>
      <c r="H15" s="886"/>
      <c r="I15" s="886"/>
      <c r="J15" s="886"/>
      <c r="K15" s="886"/>
      <c r="L15" s="886"/>
      <c r="M15" s="886"/>
      <c r="N15" s="886"/>
      <c r="O15" s="887"/>
      <c r="P15" s="591"/>
      <c r="Q15" s="559"/>
      <c r="R15" s="588"/>
      <c r="AK15" s="578"/>
      <c r="AL15" s="579"/>
      <c r="AM15" s="579"/>
      <c r="AN15" s="579"/>
      <c r="AO15" s="572"/>
      <c r="AP15" s="579"/>
      <c r="AQ15" s="579"/>
      <c r="AR15" s="572"/>
      <c r="AS15" s="572"/>
    </row>
    <row r="16" spans="1:61" ht="14.25" hidden="1" customHeight="1">
      <c r="A16" s="3"/>
      <c r="B16" s="606" t="s">
        <v>566</v>
      </c>
      <c r="C16" s="605"/>
      <c r="D16" s="605"/>
      <c r="E16" s="558" t="e">
        <f>#REF!</f>
        <v>#REF!</v>
      </c>
      <c r="F16" s="558" t="e">
        <f>#REF!</f>
        <v>#REF!</v>
      </c>
      <c r="G16" s="558" t="e">
        <f>#REF!</f>
        <v>#REF!</v>
      </c>
      <c r="H16" s="558" t="e">
        <f>#REF!</f>
        <v>#REF!</v>
      </c>
      <c r="I16" s="558" t="e">
        <f>#REF!</f>
        <v>#REF!</v>
      </c>
      <c r="J16" s="558" t="e">
        <f>#REF!</f>
        <v>#REF!</v>
      </c>
      <c r="K16" s="558" t="e">
        <f>#REF!</f>
        <v>#REF!</v>
      </c>
      <c r="L16" s="558" t="e">
        <f>#REF!</f>
        <v>#REF!</v>
      </c>
      <c r="M16" s="558" t="e">
        <f>#REF!</f>
        <v>#REF!</v>
      </c>
      <c r="N16" s="558" t="e">
        <f>#REF!</f>
        <v>#REF!</v>
      </c>
      <c r="O16" s="558" t="e">
        <f>#REF!</f>
        <v>#REF!</v>
      </c>
      <c r="P16" s="591"/>
      <c r="Q16" s="559"/>
      <c r="R16" s="588"/>
      <c r="S16" s="588"/>
      <c r="T16" s="557"/>
      <c r="X16" s="589"/>
      <c r="AK16" s="578"/>
      <c r="AL16" s="579"/>
      <c r="AM16" s="579"/>
      <c r="AN16" s="579"/>
      <c r="AO16" s="572"/>
      <c r="AP16" s="579"/>
      <c r="AQ16" s="579"/>
      <c r="AR16" s="572"/>
      <c r="AS16" s="572"/>
    </row>
    <row r="17" spans="1:61" ht="37.5" customHeight="1">
      <c r="P17" s="559"/>
      <c r="Q17" s="559"/>
      <c r="R17" s="888" t="s">
        <v>558</v>
      </c>
      <c r="S17" s="888" t="s">
        <v>559</v>
      </c>
      <c r="T17" s="889" t="s">
        <v>495</v>
      </c>
      <c r="U17" s="890" t="s">
        <v>477</v>
      </c>
      <c r="V17" s="890"/>
      <c r="W17" s="890"/>
      <c r="X17" s="890"/>
      <c r="Y17" s="890"/>
      <c r="Z17" s="890"/>
      <c r="AA17" s="890"/>
      <c r="AB17" s="889" t="s">
        <v>496</v>
      </c>
      <c r="AC17" s="891" t="s">
        <v>479</v>
      </c>
      <c r="AD17" s="892"/>
      <c r="AE17" s="892"/>
      <c r="AF17" s="892"/>
      <c r="AG17" s="892"/>
      <c r="AH17" s="892"/>
      <c r="AI17" s="893"/>
      <c r="AK17" s="572"/>
      <c r="AL17" s="572"/>
      <c r="AM17" s="572"/>
      <c r="AN17" s="572"/>
      <c r="AO17" s="572"/>
      <c r="AP17" s="572"/>
      <c r="AQ17" s="572"/>
      <c r="AR17" s="572"/>
      <c r="AS17" s="572"/>
    </row>
    <row r="18" spans="1:61" ht="12" customHeight="1">
      <c r="P18" s="559"/>
      <c r="Q18" s="559"/>
      <c r="R18" s="888"/>
      <c r="S18" s="888"/>
      <c r="T18" s="889"/>
      <c r="U18" s="581" t="s">
        <v>66</v>
      </c>
      <c r="V18" s="581" t="s">
        <v>67</v>
      </c>
      <c r="W18" s="552" t="s">
        <v>100</v>
      </c>
      <c r="X18" s="581" t="s">
        <v>69</v>
      </c>
      <c r="Y18" s="581" t="s">
        <v>198</v>
      </c>
      <c r="Z18" s="581" t="s">
        <v>139</v>
      </c>
      <c r="AA18" s="581" t="s">
        <v>72</v>
      </c>
      <c r="AB18" s="889"/>
      <c r="AC18" s="581" t="s">
        <v>66</v>
      </c>
      <c r="AD18" s="581" t="s">
        <v>67</v>
      </c>
      <c r="AE18" s="552" t="s">
        <v>100</v>
      </c>
      <c r="AF18" s="581" t="s">
        <v>69</v>
      </c>
      <c r="AG18" s="581" t="s">
        <v>198</v>
      </c>
      <c r="AH18" s="581" t="s">
        <v>139</v>
      </c>
      <c r="AI18" s="581" t="s">
        <v>72</v>
      </c>
      <c r="AK18" s="572"/>
      <c r="AL18" s="572"/>
      <c r="AM18" s="572"/>
      <c r="AN18" s="572"/>
      <c r="AO18" s="572"/>
      <c r="AP18" s="572"/>
      <c r="AQ18" s="572"/>
      <c r="AR18" s="572"/>
      <c r="AS18" s="572"/>
    </row>
    <row r="19" spans="1:61" ht="35.25" customHeight="1">
      <c r="A19" s="597">
        <v>1</v>
      </c>
      <c r="B19" s="604" t="s">
        <v>577</v>
      </c>
      <c r="C19" s="603" t="s">
        <v>703</v>
      </c>
      <c r="D19" s="879" t="s">
        <v>710</v>
      </c>
      <c r="E19" s="655">
        <f t="shared" ref="E19:E25" si="33">T19-AB19</f>
        <v>511.12173550481316</v>
      </c>
      <c r="F19" s="655">
        <f t="shared" ref="F19:F25" si="34">E19/3.6</f>
        <v>141.97825986244808</v>
      </c>
      <c r="G19" s="655">
        <f>AB19</f>
        <v>1533.3652065144393</v>
      </c>
      <c r="H19" s="655">
        <f>G19/3.6*1000</f>
        <v>425934.77958734421</v>
      </c>
      <c r="I19" s="655">
        <f t="shared" ref="I19:O24" si="35">U19-AC19</f>
        <v>0.79837215085851809</v>
      </c>
      <c r="J19" s="655">
        <f t="shared" si="35"/>
        <v>0.78748525789226553</v>
      </c>
      <c r="K19" s="655">
        <f t="shared" si="35"/>
        <v>186.04831172375197</v>
      </c>
      <c r="L19" s="655">
        <f t="shared" si="35"/>
        <v>4.6256517063185594E-4</v>
      </c>
      <c r="M19" s="655">
        <f t="shared" si="35"/>
        <v>0.81779477680770096</v>
      </c>
      <c r="N19" s="655">
        <f t="shared" si="35"/>
        <v>7.1557042970673834E-2</v>
      </c>
      <c r="O19" s="655">
        <f t="shared" si="35"/>
        <v>9.0260827311042764</v>
      </c>
      <c r="P19" s="559"/>
      <c r="Q19" s="559"/>
      <c r="R19" s="558">
        <f t="shared" ref="R19:R24" si="36">537219.01/4467</f>
        <v>120.26393776583838</v>
      </c>
      <c r="S19" s="558">
        <v>17</v>
      </c>
      <c r="T19" s="558">
        <f>R19*S19</f>
        <v>2044.4869420192524</v>
      </c>
      <c r="U19" s="558">
        <f>$T$19*'Wskaźniki emisji, założenia'!B10/1000000</f>
        <v>0.82597272457577797</v>
      </c>
      <c r="V19" s="558">
        <f>$T$19*'Wskaźniki emisji, założenia'!C10/1000000</f>
        <v>0.81370580292366246</v>
      </c>
      <c r="W19" s="558">
        <f>$T$19*'Wskaźniki emisji, założenia'!D10/1000000</f>
        <v>186.04831172375197</v>
      </c>
      <c r="X19" s="558">
        <f>$T$19*'Wskaźniki emisji, założenia'!E10/1000000</f>
        <v>4.7023199666442812E-4</v>
      </c>
      <c r="Y19" s="558">
        <f>$T$19*'Wskaźniki emisji, założenia'!F10/1000000</f>
        <v>0.81779477680770096</v>
      </c>
      <c r="Z19" s="558">
        <f>$T$19*'Wskaźniki emisji, założenia'!G10/1000000</f>
        <v>0.22489356362211776</v>
      </c>
      <c r="AA19" s="558">
        <f>$T$19*'Wskaźniki emisji, założenia'!H10/1000000</f>
        <v>9.4046399332885606</v>
      </c>
      <c r="AB19" s="558">
        <f>(1-AR19)*T19</f>
        <v>1533.3652065144393</v>
      </c>
      <c r="AC19" s="558">
        <f>$AB$19*'Wskaźniki emisji, założenia'!B30/1000000</f>
        <v>2.7600573717259907E-2</v>
      </c>
      <c r="AD19" s="558">
        <f>$AB$19*'Wskaźniki emisji, założenia'!C30/1000000</f>
        <v>2.6220545031396911E-2</v>
      </c>
      <c r="AE19" s="558">
        <f>$AB$19*'Wskaźniki emisji, założenia'!D30/1000000</f>
        <v>0</v>
      </c>
      <c r="AF19" s="558">
        <f>$AB$19*'Wskaźniki emisji, założenia'!E30/1000000</f>
        <v>7.6668260325721966E-6</v>
      </c>
      <c r="AG19" s="558">
        <f>$AB$19*'Wskaźniki emisji, założenia'!F30/1000000</f>
        <v>0</v>
      </c>
      <c r="AH19" s="558">
        <f>$AB$19*'Wskaźniki emisji, założenia'!G30/1000000</f>
        <v>0.15333652065144393</v>
      </c>
      <c r="AI19" s="558">
        <f>$AB$19*'Wskaźniki emisji, założenia'!H30/1000000</f>
        <v>0.37855720218428474</v>
      </c>
      <c r="AK19" s="553">
        <v>0</v>
      </c>
      <c r="AL19" s="553">
        <v>0</v>
      </c>
      <c r="AM19" s="553">
        <v>0</v>
      </c>
      <c r="AN19" s="553">
        <v>0</v>
      </c>
      <c r="AO19" s="553">
        <v>0</v>
      </c>
      <c r="AP19" s="553">
        <v>0</v>
      </c>
      <c r="AQ19" s="553">
        <v>0.25</v>
      </c>
      <c r="AR19" s="553">
        <v>0.25</v>
      </c>
      <c r="AS19" s="560">
        <f t="shared" ref="AS19:AS24" si="37">100%-AR19</f>
        <v>0.75</v>
      </c>
      <c r="AW19" s="580"/>
      <c r="AX19" s="580"/>
      <c r="AY19" s="580"/>
      <c r="AZ19" s="580"/>
    </row>
    <row r="20" spans="1:61" ht="38.25" customHeight="1">
      <c r="A20" s="597">
        <v>2</v>
      </c>
      <c r="B20" s="604" t="s">
        <v>578</v>
      </c>
      <c r="C20" s="603" t="s">
        <v>703</v>
      </c>
      <c r="D20" s="880"/>
      <c r="E20" s="655">
        <f t="shared" si="33"/>
        <v>150.32992220729795</v>
      </c>
      <c r="F20" s="655">
        <f t="shared" si="34"/>
        <v>41.758311724249431</v>
      </c>
      <c r="G20" s="655">
        <v>0</v>
      </c>
      <c r="H20" s="655">
        <v>0</v>
      </c>
      <c r="I20" s="655">
        <f t="shared" si="35"/>
        <v>0.23581202587203384</v>
      </c>
      <c r="J20" s="655">
        <f t="shared" si="35"/>
        <v>0.23231234528304792</v>
      </c>
      <c r="K20" s="655">
        <f t="shared" si="35"/>
        <v>13.229033154242217</v>
      </c>
      <c r="L20" s="655">
        <f t="shared" si="35"/>
        <v>1.3334264099787332E-4</v>
      </c>
      <c r="M20" s="655">
        <f t="shared" si="35"/>
        <v>0.24052787553167679</v>
      </c>
      <c r="N20" s="655">
        <f t="shared" si="35"/>
        <v>-1.9542889886948731E-2</v>
      </c>
      <c r="O20" s="655">
        <f t="shared" si="35"/>
        <v>2.65473021503067</v>
      </c>
      <c r="P20" s="559"/>
      <c r="Q20" s="559"/>
      <c r="R20" s="558">
        <f t="shared" si="36"/>
        <v>120.26393776583838</v>
      </c>
      <c r="S20" s="558">
        <v>5</v>
      </c>
      <c r="T20" s="558">
        <f>R20*S20</f>
        <v>601.31968882919193</v>
      </c>
      <c r="U20" s="558">
        <f>$T$20*'Wskaźniki emisji, założenia'!$B$10/1000000</f>
        <v>0.24293315428699355</v>
      </c>
      <c r="V20" s="558">
        <f>$T$20*'Wskaźniki emisji, założenia'!$C$10/1000000</f>
        <v>0.23932523615401838</v>
      </c>
      <c r="W20" s="558">
        <f>$T$20*'Wskaźniki emisji, założenia'!$D$10/1000000</f>
        <v>54.720091683456467</v>
      </c>
      <c r="X20" s="558">
        <f>$T$20*'Wskaźniki emisji, założenia'!$E$10/1000000</f>
        <v>1.3830352843071416E-4</v>
      </c>
      <c r="Y20" s="558">
        <f>$T$20*'Wskaźniki emisji, założenia'!$F$10/1000000</f>
        <v>0.24052787553167679</v>
      </c>
      <c r="Z20" s="558">
        <f>$T$20*'Wskaźniki emisji, założenia'!$G$10/1000000</f>
        <v>6.6145165771211115E-2</v>
      </c>
      <c r="AA20" s="558">
        <f>$T$20*'Wskaźniki emisji, założenia'!$H$10/1000000</f>
        <v>2.7660705686142832</v>
      </c>
      <c r="AB20" s="558">
        <f>(1-AR20)*T20</f>
        <v>450.98976662189398</v>
      </c>
      <c r="AC20" s="558">
        <f>$AB$20*'Wskaźniki emisji, założenia'!$B$19/1000000</f>
        <v>7.1211284149597055E-3</v>
      </c>
      <c r="AD20" s="558">
        <f>$AB$20*'Wskaźniki emisji, założenia'!$C$19/1000000</f>
        <v>7.0128908709704519E-3</v>
      </c>
      <c r="AE20" s="558">
        <f>$AB$20*'Wskaźniki emisji, założenia'!$D$19/1000000</f>
        <v>41.49105852921425</v>
      </c>
      <c r="AF20" s="558">
        <f>$AB$20*'Wskaźniki emisji, założenia'!$E$19/1000000</f>
        <v>4.9608874328408339E-6</v>
      </c>
      <c r="AG20" s="558">
        <f>$AB$20*'Wskaźniki emisji, założenia'!F$19/1000000</f>
        <v>0</v>
      </c>
      <c r="AH20" s="558">
        <f>$AB$20*'Wskaźniki emisji, założenia'!$G$19/1000000</f>
        <v>8.5688055658159845E-2</v>
      </c>
      <c r="AI20" s="558">
        <f>$AB$20*'Wskaźniki emisji, założenia'!$H$19/1000000</f>
        <v>0.11134035358361317</v>
      </c>
      <c r="AK20" s="553">
        <v>0</v>
      </c>
      <c r="AL20" s="553">
        <v>0</v>
      </c>
      <c r="AM20" s="553">
        <v>0</v>
      </c>
      <c r="AN20" s="553">
        <v>0</v>
      </c>
      <c r="AO20" s="553">
        <v>0</v>
      </c>
      <c r="AP20" s="553">
        <v>0</v>
      </c>
      <c r="AQ20" s="553">
        <v>0.25</v>
      </c>
      <c r="AR20" s="553">
        <f>100%-(100%-AK20)*(100%-AL20)*(100%-AM20)*(100%-AN20)*(100%-AO20)*(100%-AP20)*(100%-AQ20)</f>
        <v>0.25</v>
      </c>
      <c r="AS20" s="560">
        <f t="shared" si="37"/>
        <v>0.75</v>
      </c>
      <c r="AW20" s="580"/>
      <c r="AX20" s="580"/>
      <c r="AY20" s="580"/>
      <c r="AZ20" s="580"/>
    </row>
    <row r="21" spans="1:61" ht="51" customHeight="1">
      <c r="A21" s="597">
        <v>3</v>
      </c>
      <c r="B21" s="604" t="s">
        <v>705</v>
      </c>
      <c r="C21" s="603" t="s">
        <v>703</v>
      </c>
      <c r="D21" s="880"/>
      <c r="E21" s="655">
        <f t="shared" si="33"/>
        <v>481.05575106335357</v>
      </c>
      <c r="F21" s="655">
        <f t="shared" si="34"/>
        <v>133.62659751759821</v>
      </c>
      <c r="G21" s="655">
        <f>AB21</f>
        <v>721.5836265950303</v>
      </c>
      <c r="H21" s="655">
        <f>G21/3.6*1000</f>
        <v>200439.89627639728</v>
      </c>
      <c r="I21" s="655">
        <f t="shared" si="35"/>
        <v>0.4858663085739871</v>
      </c>
      <c r="J21" s="655">
        <f t="shared" si="35"/>
        <v>0.47865047230803676</v>
      </c>
      <c r="K21" s="655">
        <f t="shared" si="35"/>
        <v>-53.317012409521666</v>
      </c>
      <c r="L21" s="655">
        <f t="shared" si="35"/>
        <v>2.7660705686142833E-4</v>
      </c>
      <c r="M21" s="655">
        <f t="shared" si="35"/>
        <v>0.48105575106335358</v>
      </c>
      <c r="N21" s="655">
        <f t="shared" si="35"/>
        <v>0.13229033154242223</v>
      </c>
      <c r="O21" s="655">
        <f t="shared" si="35"/>
        <v>5.5321411372285665</v>
      </c>
      <c r="P21" s="559"/>
      <c r="Q21" s="559"/>
      <c r="R21" s="558">
        <f t="shared" si="36"/>
        <v>120.26393776583838</v>
      </c>
      <c r="S21" s="558">
        <v>10</v>
      </c>
      <c r="T21" s="558">
        <f>R21*S21</f>
        <v>1202.6393776583839</v>
      </c>
      <c r="U21" s="558">
        <f>$T$21*'Wskaźniki emisji, założenia'!$B$10/1000000</f>
        <v>0.4858663085739871</v>
      </c>
      <c r="V21" s="558">
        <f>$T$21*'Wskaźniki emisji, założenia'!$C$10/1000000</f>
        <v>0.47865047230803676</v>
      </c>
      <c r="W21" s="558">
        <f>$T$21*'Wskaźniki emisji, założenia'!$D$10/1000000</f>
        <v>109.44018336691293</v>
      </c>
      <c r="X21" s="558">
        <f>$T$21*'Wskaźniki emisji, założenia'!$E$10/1000000</f>
        <v>2.7660705686142833E-4</v>
      </c>
      <c r="Y21" s="558">
        <f>$T$21*'Wskaźniki emisji, założenia'!$F$10/1000000</f>
        <v>0.48105575106335358</v>
      </c>
      <c r="Z21" s="558">
        <f>$T$21*'Wskaźniki emisji, założenia'!$G$10/1000000</f>
        <v>0.13229033154242223</v>
      </c>
      <c r="AA21" s="558">
        <f>$T$21*'Wskaźniki emisji, założenia'!$H$10/1000000</f>
        <v>5.5321411372285665</v>
      </c>
      <c r="AB21" s="558">
        <f>(1-AR21)*T21</f>
        <v>721.5836265950303</v>
      </c>
      <c r="AC21" s="558"/>
      <c r="AD21" s="558"/>
      <c r="AE21" s="558">
        <f>AB21/3.6*'Wskaźniki emisji, założenia'!C72</f>
        <v>162.7571957764346</v>
      </c>
      <c r="AF21" s="558"/>
      <c r="AG21" s="558"/>
      <c r="AH21" s="558"/>
      <c r="AI21" s="558"/>
      <c r="AK21" s="553">
        <v>0</v>
      </c>
      <c r="AL21" s="553">
        <v>0</v>
      </c>
      <c r="AM21" s="553">
        <v>0</v>
      </c>
      <c r="AN21" s="553">
        <v>0</v>
      </c>
      <c r="AO21" s="553">
        <v>0</v>
      </c>
      <c r="AP21" s="553">
        <v>0</v>
      </c>
      <c r="AQ21" s="553">
        <v>0.4</v>
      </c>
      <c r="AR21" s="553">
        <f>100%-(100%-AK21)*(100%-AL21)*(100%-AM21)*(100%-AN21)*(100%-AO21)*(100%-AP21)*(100%-AQ21)</f>
        <v>0.4</v>
      </c>
      <c r="AS21" s="560">
        <f t="shared" si="37"/>
        <v>0.6</v>
      </c>
      <c r="AW21" s="580"/>
      <c r="AX21" s="580"/>
      <c r="AY21" s="580"/>
      <c r="AZ21" s="580"/>
    </row>
    <row r="22" spans="1:61" ht="33" customHeight="1">
      <c r="A22" s="597">
        <v>4</v>
      </c>
      <c r="B22" s="604" t="s">
        <v>579</v>
      </c>
      <c r="C22" s="603" t="s">
        <v>703</v>
      </c>
      <c r="D22" s="880"/>
      <c r="E22" s="655">
        <f t="shared" si="33"/>
        <v>72.158362659503041</v>
      </c>
      <c r="F22" s="655">
        <f t="shared" si="34"/>
        <v>20.043989627639732</v>
      </c>
      <c r="G22" s="655">
        <v>0</v>
      </c>
      <c r="H22" s="655">
        <f>G22/3.6*1000</f>
        <v>0</v>
      </c>
      <c r="I22" s="655">
        <f t="shared" si="35"/>
        <v>9.6971218299350806E-2</v>
      </c>
      <c r="J22" s="655">
        <f t="shared" si="35"/>
        <v>9.5528051046160745E-2</v>
      </c>
      <c r="K22" s="655">
        <f t="shared" si="35"/>
        <v>13.132822004029551</v>
      </c>
      <c r="L22" s="655">
        <f t="shared" si="35"/>
        <v>5.5321317085358446E-5</v>
      </c>
      <c r="M22" s="655">
        <f t="shared" si="35"/>
        <v>9.6160639358809058E-2</v>
      </c>
      <c r="N22" s="655">
        <f t="shared" si="35"/>
        <v>1.7871221152003583E-2</v>
      </c>
      <c r="O22" s="655">
        <f t="shared" si="35"/>
        <v>1.1020506201110365</v>
      </c>
      <c r="P22" s="559"/>
      <c r="Q22" s="559"/>
      <c r="R22" s="558">
        <f t="shared" si="36"/>
        <v>120.26393776583838</v>
      </c>
      <c r="S22" s="558">
        <v>2</v>
      </c>
      <c r="T22" s="558">
        <f>R22*S22</f>
        <v>240.52787553167676</v>
      </c>
      <c r="U22" s="558">
        <f>$T$22*'Wskaźniki emisji, założenia'!$B$10/1000000</f>
        <v>9.7173261714797413E-2</v>
      </c>
      <c r="V22" s="558">
        <f>$T$22*'Wskaźniki emisji, założenia'!$C$10/1000000</f>
        <v>9.5730094461607351E-2</v>
      </c>
      <c r="W22" s="558">
        <f>$T$22*'Wskaźniki emisji, założenia'!$D$10/1000000</f>
        <v>21.888036673382583</v>
      </c>
      <c r="X22" s="558">
        <f>$T$22*'Wskaźniki emisji, założenia'!$E$10/1000000</f>
        <v>5.5321411372285656E-5</v>
      </c>
      <c r="Y22" s="558">
        <f>$T$22*'Wskaźniki emisji, założenia'!$F$10/1000000</f>
        <v>9.621115021267071E-2</v>
      </c>
      <c r="Z22" s="558">
        <f>$T$22*'Wskaźniki emisji, założenia'!$G$10/1000000</f>
        <v>2.6458066308484442E-2</v>
      </c>
      <c r="AA22" s="558">
        <f>$T$22*'Wskaźniki emisji, założenia'!$H$10/1000000</f>
        <v>1.1064282274457131</v>
      </c>
      <c r="AB22" s="558">
        <f>(1-AR22)*T22</f>
        <v>168.36951287217371</v>
      </c>
      <c r="AC22" s="558">
        <f>$AB$22*'Wskaźniki emisji, założenia'!$B$4/1000000</f>
        <v>2.0204341544660846E-4</v>
      </c>
      <c r="AD22" s="558">
        <f>$AB$22*'Wskaźniki emisji, założenia'!$C$4/1000000</f>
        <v>2.0204341544660846E-4</v>
      </c>
      <c r="AE22" s="558">
        <f>$AB$22*'Wskaźniki emisji, założenia'!$D$4/1000000</f>
        <v>8.7552146693530322</v>
      </c>
      <c r="AF22" s="558">
        <f>$AB$22*'Wskaźniki emisji, założenia'!$E$4/1000000</f>
        <v>9.4286927208417288E-11</v>
      </c>
      <c r="AG22" s="558">
        <f>$AB$22*'Wskaźniki emisji, założenia'!$F$4/1000000</f>
        <v>5.0510853861652115E-5</v>
      </c>
      <c r="AH22" s="558">
        <f>$AB$22*'Wskaźniki emisji, założenia'!$G$4/1000000</f>
        <v>8.5868451564808605E-3</v>
      </c>
      <c r="AI22" s="558">
        <f>$AB$22*'Wskaźniki emisji, założenia'!$H$4/1000000</f>
        <v>4.3776073346765169E-3</v>
      </c>
      <c r="AK22" s="553">
        <v>0</v>
      </c>
      <c r="AL22" s="553">
        <v>0</v>
      </c>
      <c r="AM22" s="553">
        <v>0</v>
      </c>
      <c r="AN22" s="553">
        <v>0</v>
      </c>
      <c r="AO22" s="553">
        <v>0</v>
      </c>
      <c r="AP22" s="553">
        <v>0</v>
      </c>
      <c r="AQ22" s="553">
        <v>0.3</v>
      </c>
      <c r="AR22" s="553">
        <f>100%-(100%-AK22)*(100%-AL22)*(100%-AM22)*(100%-AN22)*(100%-AO22)*(100%-AP22)*(100%-AQ22)</f>
        <v>0.30000000000000004</v>
      </c>
      <c r="AS22" s="560">
        <f t="shared" si="37"/>
        <v>0.7</v>
      </c>
      <c r="AW22" s="580"/>
      <c r="AX22" s="580"/>
      <c r="AY22" s="580"/>
      <c r="AZ22" s="580"/>
    </row>
    <row r="23" spans="1:61" ht="33" customHeight="1">
      <c r="A23" s="597">
        <v>5</v>
      </c>
      <c r="B23" s="604" t="s">
        <v>706</v>
      </c>
      <c r="C23" s="603" t="s">
        <v>703</v>
      </c>
      <c r="D23" s="880"/>
      <c r="E23" s="655">
        <f t="shared" ref="E23" si="38">T23-AB23</f>
        <v>1779.906278934408</v>
      </c>
      <c r="F23" s="655">
        <f t="shared" ref="F23" si="39">E23/3.6</f>
        <v>494.4184108151133</v>
      </c>
      <c r="G23" s="655">
        <v>0</v>
      </c>
      <c r="H23" s="655">
        <f>G23/3.6*1000</f>
        <v>0</v>
      </c>
      <c r="I23" s="655">
        <f t="shared" ref="I23" si="40">U23-AC23</f>
        <v>9.7173261714797413E-2</v>
      </c>
      <c r="J23" s="655">
        <f t="shared" ref="J23" si="41">V23-AD23</f>
        <v>9.5730094461607351E-2</v>
      </c>
      <c r="K23" s="655">
        <f t="shared" ref="K23" si="42">W23-AE23</f>
        <v>-228.38458520758454</v>
      </c>
      <c r="L23" s="655">
        <f t="shared" ref="L23" si="43">X23-AF23</f>
        <v>5.5321411372285656E-5</v>
      </c>
      <c r="M23" s="655">
        <f t="shared" ref="M23" si="44">Y23-AG23</f>
        <v>9.621115021267071E-2</v>
      </c>
      <c r="N23" s="655">
        <f t="shared" ref="N23" si="45">Z23-AH23</f>
        <v>2.6458066308484442E-2</v>
      </c>
      <c r="O23" s="655">
        <f t="shared" ref="O23" si="46">AA23-AI23</f>
        <v>1.1064282274457131</v>
      </c>
      <c r="P23" s="559"/>
      <c r="Q23" s="559"/>
      <c r="R23" s="558">
        <f t="shared" si="36"/>
        <v>120.26393776583838</v>
      </c>
      <c r="S23" s="558">
        <f>28+9</f>
        <v>37</v>
      </c>
      <c r="T23" s="558">
        <f>R23*S23</f>
        <v>4449.7656973360199</v>
      </c>
      <c r="U23" s="558">
        <f>$T$22*'Wskaźniki emisji, założenia'!$B$10/1000000</f>
        <v>9.7173261714797413E-2</v>
      </c>
      <c r="V23" s="558">
        <f>$T$22*'Wskaźniki emisji, założenia'!$C$10/1000000</f>
        <v>9.5730094461607351E-2</v>
      </c>
      <c r="W23" s="558">
        <f>$T$22*'Wskaźniki emisji, założenia'!$D$10/1000000</f>
        <v>21.888036673382583</v>
      </c>
      <c r="X23" s="558">
        <f>$T$22*'Wskaźniki emisji, założenia'!$E$10/1000000</f>
        <v>5.5321411372285656E-5</v>
      </c>
      <c r="Y23" s="558">
        <f>$T$22*'Wskaźniki emisji, założenia'!$F$10/1000000</f>
        <v>9.621115021267071E-2</v>
      </c>
      <c r="Z23" s="558">
        <f>$T$22*'Wskaźniki emisji, założenia'!$G$10/1000000</f>
        <v>2.6458066308484442E-2</v>
      </c>
      <c r="AA23" s="558">
        <f>$T$22*'Wskaźniki emisji, założenia'!$H$10/1000000</f>
        <v>1.1064282274457131</v>
      </c>
      <c r="AB23" s="558">
        <f>(1-AR23)*T23</f>
        <v>2669.8594184016119</v>
      </c>
      <c r="AC23" s="558">
        <f>$AB$23*'Wskaźniki emisji, założenia'!B7/1000000</f>
        <v>0</v>
      </c>
      <c r="AD23" s="558">
        <f>$AB$23*'Wskaźniki emisji, założenia'!C7/1000000</f>
        <v>0</v>
      </c>
      <c r="AE23" s="558">
        <f>$AB$23*'Wskaźniki emisji, założenia'!D7/1000000</f>
        <v>250.27262188096711</v>
      </c>
      <c r="AF23" s="558">
        <f>$AB$23*'Wskaźniki emisji, założenia'!E7/1000000</f>
        <v>0</v>
      </c>
      <c r="AG23" s="558">
        <f>$AB$23*'Wskaźniki emisji, założenia'!F7/1000000</f>
        <v>0</v>
      </c>
      <c r="AH23" s="558">
        <f>$AB$23*'Wskaźniki emisji, założenia'!G7/1000000</f>
        <v>0</v>
      </c>
      <c r="AI23" s="558">
        <f>$AB$23*'Wskaźniki emisji, założenia'!H7/1000000</f>
        <v>0</v>
      </c>
      <c r="AK23" s="553">
        <v>0</v>
      </c>
      <c r="AL23" s="553">
        <v>0</v>
      </c>
      <c r="AM23" s="553">
        <v>0</v>
      </c>
      <c r="AN23" s="553">
        <v>0</v>
      </c>
      <c r="AO23" s="553">
        <v>0</v>
      </c>
      <c r="AP23" s="553">
        <v>0</v>
      </c>
      <c r="AQ23" s="553">
        <v>0.4</v>
      </c>
      <c r="AR23" s="553">
        <f>100%-(100%-AK23)*(100%-AL23)*(100%-AM23)*(100%-AN23)*(100%-AO23)*(100%-AP23)*(100%-AQ23)</f>
        <v>0.4</v>
      </c>
      <c r="AS23" s="560">
        <f t="shared" ref="AS23" si="47">100%-AR23</f>
        <v>0.6</v>
      </c>
      <c r="AW23" s="580"/>
      <c r="AX23" s="580"/>
      <c r="AY23" s="580"/>
      <c r="AZ23" s="580"/>
    </row>
    <row r="24" spans="1:61" ht="27" customHeight="1">
      <c r="A24" s="597">
        <v>6</v>
      </c>
      <c r="B24" s="604" t="s">
        <v>576</v>
      </c>
      <c r="C24" s="603" t="s">
        <v>704</v>
      </c>
      <c r="D24" s="881"/>
      <c r="E24" s="655">
        <f>13*R24-T24</f>
        <v>861.43119095589896</v>
      </c>
      <c r="F24" s="655">
        <f t="shared" si="34"/>
        <v>239.28644193219415</v>
      </c>
      <c r="G24" s="655">
        <f>T24</f>
        <v>702</v>
      </c>
      <c r="H24" s="655">
        <f>G24/3.6*1000</f>
        <v>195000</v>
      </c>
      <c r="I24" s="655">
        <f t="shared" si="35"/>
        <v>0.63162620114618317</v>
      </c>
      <c r="J24" s="655">
        <f t="shared" si="35"/>
        <v>0.62224561400044776</v>
      </c>
      <c r="K24" s="655">
        <f t="shared" si="35"/>
        <v>105.4489825630333</v>
      </c>
      <c r="L24" s="655">
        <f t="shared" si="35"/>
        <v>3.5958917391985676E-4</v>
      </c>
      <c r="M24" s="655">
        <f t="shared" si="35"/>
        <v>0.6253724763823596</v>
      </c>
      <c r="N24" s="655">
        <f t="shared" si="35"/>
        <v>0.1719774310051489</v>
      </c>
      <c r="O24" s="655">
        <f t="shared" si="35"/>
        <v>7.1917834783971353</v>
      </c>
      <c r="P24" s="559"/>
      <c r="Q24" s="559"/>
      <c r="R24" s="558">
        <f t="shared" si="36"/>
        <v>120.26393776583838</v>
      </c>
      <c r="S24" s="558">
        <f>12*13</f>
        <v>156</v>
      </c>
      <c r="T24" s="558">
        <f>S24*1.25*3.6</f>
        <v>702</v>
      </c>
      <c r="U24" s="558">
        <f>$R$24*13*'Wskaźniki emisji, założenia'!B10/1000000</f>
        <v>0.63162620114618317</v>
      </c>
      <c r="V24" s="558">
        <f>$R$24*13*'Wskaźniki emisji, założenia'!C10/1000000</f>
        <v>0.62224561400044776</v>
      </c>
      <c r="W24" s="558">
        <f>$R$24*13*'Wskaźniki emisji, założenia'!D10/1000000</f>
        <v>142.27223837698679</v>
      </c>
      <c r="X24" s="558">
        <f>$R$24*13*'Wskaźniki emisji, założenia'!E10/1000000</f>
        <v>3.5958917391985676E-4</v>
      </c>
      <c r="Y24" s="558">
        <f>$R$24*13*'Wskaźniki emisji, założenia'!F10/1000000</f>
        <v>0.6253724763823596</v>
      </c>
      <c r="Z24" s="558">
        <f>$R$24*13*'Wskaźniki emisji, założenia'!G10/1000000</f>
        <v>0.1719774310051489</v>
      </c>
      <c r="AA24" s="558">
        <f>$R$24*13*'Wskaźniki emisji, założenia'!H10/1000000</f>
        <v>7.1917834783971353</v>
      </c>
      <c r="AB24" s="558">
        <f>T24/4.3</f>
        <v>163.25581395348837</v>
      </c>
      <c r="AC24" s="558">
        <v>0</v>
      </c>
      <c r="AD24" s="558">
        <v>0</v>
      </c>
      <c r="AE24" s="558">
        <f>AB24/3.6*'Wskaźniki emisji, założenia'!C72</f>
        <v>36.823255813953487</v>
      </c>
      <c r="AF24" s="558">
        <v>0</v>
      </c>
      <c r="AG24" s="558">
        <v>0</v>
      </c>
      <c r="AH24" s="558">
        <v>0</v>
      </c>
      <c r="AI24" s="558">
        <v>0</v>
      </c>
      <c r="AK24" s="553"/>
      <c r="AL24" s="553"/>
      <c r="AM24" s="553"/>
      <c r="AN24" s="553"/>
      <c r="AO24" s="553"/>
      <c r="AP24" s="553"/>
      <c r="AQ24" s="553"/>
      <c r="AR24" s="553">
        <v>1</v>
      </c>
      <c r="AS24" s="560">
        <f t="shared" si="37"/>
        <v>0</v>
      </c>
      <c r="AV24" s="406"/>
      <c r="AW24" s="573">
        <f>AV24*520*3.6/1000</f>
        <v>0</v>
      </c>
      <c r="AX24" s="406"/>
      <c r="AY24" s="406"/>
      <c r="AZ24" s="406"/>
      <c r="BA24" s="406"/>
      <c r="BB24" s="3"/>
      <c r="BC24" s="3"/>
      <c r="BD24" s="3"/>
      <c r="BE24" s="573"/>
      <c r="BF24" s="573">
        <f>BE24*1*3.6</f>
        <v>0</v>
      </c>
      <c r="BG24" s="573"/>
      <c r="BH24" s="558"/>
      <c r="BI24" s="558">
        <f>BH24*1.25*3.6</f>
        <v>0</v>
      </c>
    </row>
    <row r="25" spans="1:61" ht="21.75" hidden="1" customHeight="1">
      <c r="A25" s="597">
        <v>7</v>
      </c>
      <c r="B25" s="604" t="s">
        <v>581</v>
      </c>
      <c r="C25" s="603"/>
      <c r="D25" s="656"/>
      <c r="E25" s="655">
        <f t="shared" si="33"/>
        <v>0</v>
      </c>
      <c r="F25" s="655">
        <f t="shared" si="34"/>
        <v>0</v>
      </c>
      <c r="G25" s="655">
        <f>BF25+BI25</f>
        <v>0</v>
      </c>
      <c r="H25" s="655">
        <f>G25/3.6*1000</f>
        <v>0</v>
      </c>
      <c r="I25" s="655">
        <f>U25-AC25</f>
        <v>0</v>
      </c>
      <c r="J25" s="655">
        <f>V25-AD25</f>
        <v>0</v>
      </c>
      <c r="K25" s="655">
        <f>W25-AE25+BG25</f>
        <v>0</v>
      </c>
      <c r="L25" s="655">
        <f>X25-AF25</f>
        <v>0</v>
      </c>
      <c r="M25" s="655">
        <f>Y25-AG25</f>
        <v>0</v>
      </c>
      <c r="N25" s="655">
        <f>Z25-AH25</f>
        <v>0</v>
      </c>
      <c r="O25" s="655">
        <f>AA25-AI25</f>
        <v>0</v>
      </c>
      <c r="P25" s="559"/>
      <c r="Q25" s="559"/>
      <c r="R25" s="558"/>
      <c r="S25" s="558"/>
      <c r="T25" s="558">
        <f>S25*1*3.6</f>
        <v>0</v>
      </c>
      <c r="U25" s="558"/>
      <c r="V25" s="558"/>
      <c r="W25" s="558">
        <f>T25/3.6*'Wskaźniki emisji, założenia'!C72</f>
        <v>0</v>
      </c>
      <c r="X25" s="558"/>
      <c r="Y25" s="558"/>
      <c r="Z25" s="558"/>
      <c r="AA25" s="558"/>
      <c r="AB25" s="558"/>
      <c r="AC25" s="558"/>
      <c r="AD25" s="558"/>
      <c r="AE25" s="558"/>
      <c r="AF25" s="558"/>
      <c r="AG25" s="558"/>
      <c r="AH25" s="558"/>
      <c r="AI25" s="558"/>
      <c r="AK25" s="553"/>
      <c r="AL25" s="553"/>
      <c r="AM25" s="553"/>
      <c r="AN25" s="553"/>
      <c r="AO25" s="553"/>
      <c r="AP25" s="553"/>
      <c r="AQ25" s="553"/>
      <c r="AR25" s="553"/>
      <c r="AS25" s="560"/>
      <c r="AT25"/>
      <c r="AU25"/>
      <c r="AV25" s="406"/>
      <c r="AW25" s="573">
        <f>AV25*520*3.6/1000</f>
        <v>0</v>
      </c>
      <c r="AX25" s="406"/>
      <c r="AY25" s="406"/>
      <c r="AZ25" s="406"/>
      <c r="BA25" s="406"/>
      <c r="BB25" s="3"/>
      <c r="BC25" s="3"/>
      <c r="BD25" s="3"/>
      <c r="BE25" s="573"/>
      <c r="BF25" s="573">
        <f>BE25*1*3.6</f>
        <v>0</v>
      </c>
      <c r="BG25" s="573">
        <f>BF25*'Wskaźniki emisji, założenia'!$C$72/3.6</f>
        <v>0</v>
      </c>
      <c r="BH25" s="558"/>
      <c r="BI25" s="558">
        <f>BH25*1.25*3.6</f>
        <v>0</v>
      </c>
    </row>
    <row r="26" spans="1:61" ht="14.25" customHeight="1">
      <c r="A26" s="877" t="s">
        <v>568</v>
      </c>
      <c r="B26" s="878"/>
      <c r="C26" s="607"/>
      <c r="D26" s="657"/>
      <c r="E26" s="655">
        <f>SUM(E19:E25)</f>
        <v>3856.0032413252748</v>
      </c>
      <c r="F26" s="655">
        <f t="shared" ref="F26:O26" si="48">SUM(F19:F25)</f>
        <v>1071.1120114792429</v>
      </c>
      <c r="G26" s="655">
        <f t="shared" si="48"/>
        <v>2956.9488331094694</v>
      </c>
      <c r="H26" s="655">
        <f t="shared" si="48"/>
        <v>821374.67586374143</v>
      </c>
      <c r="I26" s="655">
        <f t="shared" si="48"/>
        <v>2.3458211664648703</v>
      </c>
      <c r="J26" s="655">
        <f t="shared" si="48"/>
        <v>2.3119518349915662</v>
      </c>
      <c r="K26" s="655">
        <f t="shared" si="48"/>
        <v>36.15755182795084</v>
      </c>
      <c r="L26" s="658">
        <f t="shared" si="48"/>
        <v>1.3427467708686585E-3</v>
      </c>
      <c r="M26" s="655">
        <f t="shared" si="48"/>
        <v>2.3571226693565706</v>
      </c>
      <c r="N26" s="655">
        <f t="shared" si="48"/>
        <v>0.40061120309178422</v>
      </c>
      <c r="O26" s="655">
        <f t="shared" si="48"/>
        <v>26.613216409317396</v>
      </c>
      <c r="P26" s="559"/>
      <c r="Q26" s="559"/>
      <c r="AK26"/>
      <c r="AL26"/>
      <c r="AM26"/>
      <c r="AN26"/>
      <c r="AO26"/>
      <c r="AP26"/>
      <c r="AQ26"/>
      <c r="AR26"/>
      <c r="AT26"/>
      <c r="AU26"/>
      <c r="AV26"/>
      <c r="AW26" s="580"/>
      <c r="AX26" s="580"/>
      <c r="AY26" s="580"/>
      <c r="AZ26" s="580"/>
    </row>
    <row r="27" spans="1:61" ht="14.25" customHeight="1">
      <c r="A27" s="875" t="s">
        <v>497</v>
      </c>
      <c r="B27" s="876"/>
      <c r="C27" s="608"/>
      <c r="D27" s="659"/>
      <c r="E27" s="646">
        <f>E26+E13</f>
        <v>14947.552518738266</v>
      </c>
      <c r="F27" s="646">
        <f t="shared" ref="F27:O27" si="49">F26+F13</f>
        <v>4152.0979218717403</v>
      </c>
      <c r="G27" s="646">
        <f t="shared" si="49"/>
        <v>2956.9488331094694</v>
      </c>
      <c r="H27" s="646">
        <f t="shared" si="49"/>
        <v>821374.67586374143</v>
      </c>
      <c r="I27" s="646">
        <f t="shared" si="49"/>
        <v>3.7043573717237335</v>
      </c>
      <c r="J27" s="646">
        <f t="shared" si="49"/>
        <v>3.6503117599743073</v>
      </c>
      <c r="K27" s="646">
        <f t="shared" si="49"/>
        <v>1578.6966402332798</v>
      </c>
      <c r="L27" s="651">
        <f t="shared" si="49"/>
        <v>2.1161708481199915E-3</v>
      </c>
      <c r="M27" s="646">
        <f t="shared" si="49"/>
        <v>3.7022080210980191</v>
      </c>
      <c r="N27" s="646">
        <f t="shared" si="49"/>
        <v>0.77050967482068256</v>
      </c>
      <c r="O27" s="646">
        <f t="shared" si="49"/>
        <v>42.081697954344051</v>
      </c>
      <c r="P27" s="559"/>
      <c r="Q27" s="559"/>
      <c r="Z27" s="559"/>
      <c r="AG27" s="582"/>
      <c r="AK27"/>
      <c r="AL27"/>
      <c r="AM27"/>
      <c r="AN27"/>
      <c r="AO27"/>
      <c r="AP27"/>
      <c r="AQ27"/>
      <c r="AR27"/>
      <c r="AT27"/>
      <c r="AU27"/>
      <c r="AV27"/>
      <c r="AW27"/>
      <c r="AX27"/>
      <c r="AY27"/>
      <c r="AZ27"/>
      <c r="BA27"/>
    </row>
    <row r="28" spans="1:61">
      <c r="D28" s="653"/>
      <c r="E28" s="654"/>
      <c r="F28" s="654"/>
      <c r="G28" s="342"/>
      <c r="H28" s="342"/>
      <c r="I28" s="342"/>
      <c r="J28" s="342"/>
      <c r="K28" s="342"/>
      <c r="L28" s="342"/>
      <c r="M28" s="342"/>
      <c r="N28" s="342"/>
      <c r="O28" s="342"/>
    </row>
    <row r="29" spans="1:61" ht="15">
      <c r="D29" s="653"/>
      <c r="E29" s="660" t="s">
        <v>715</v>
      </c>
      <c r="F29" s="654"/>
      <c r="G29" s="342"/>
      <c r="H29" s="342"/>
      <c r="I29" s="342"/>
      <c r="J29" s="342"/>
      <c r="K29" s="342"/>
      <c r="L29" s="342"/>
      <c r="M29" s="342"/>
      <c r="N29" s="342"/>
      <c r="O29" s="342"/>
    </row>
    <row r="30" spans="1:61">
      <c r="D30" s="342"/>
      <c r="E30" s="655">
        <f>F30*3.6</f>
        <v>10600.236000000001</v>
      </c>
      <c r="F30" s="655">
        <f>'Realizacja harmonogramu 2016-20'!G13</f>
        <v>2944.51</v>
      </c>
      <c r="G30" s="655">
        <f>'Realizacja harmonogramu 2016-20'!H13*3.6</f>
        <v>131.79599999999999</v>
      </c>
      <c r="H30" s="655">
        <f t="shared" ref="H30" si="50">G30/3.6*1000</f>
        <v>36610</v>
      </c>
      <c r="I30" s="655">
        <f>'Realizacja harmonogramu 2016-20'!I13</f>
        <v>0.36</v>
      </c>
      <c r="J30" s="655">
        <f>'Realizacja harmonogramu 2016-20'!J13</f>
        <v>0.33999999999999997</v>
      </c>
      <c r="K30" s="655">
        <f>'Realizacja harmonogramu 2016-20'!K13</f>
        <v>811.12999999999988</v>
      </c>
      <c r="L30" s="655">
        <f>'Realizacja harmonogramu 2016-20'!L13</f>
        <v>0.39999999999999997</v>
      </c>
      <c r="M30" s="342"/>
      <c r="N30" s="342"/>
      <c r="O30" s="342"/>
    </row>
    <row r="31" spans="1:61" ht="15">
      <c r="D31" s="342"/>
      <c r="E31" s="660" t="s">
        <v>716</v>
      </c>
      <c r="F31" s="654"/>
      <c r="G31" s="342"/>
      <c r="H31" s="342"/>
      <c r="I31" s="342"/>
      <c r="J31" s="342"/>
      <c r="K31" s="342"/>
      <c r="L31" s="342"/>
      <c r="M31" s="342"/>
      <c r="N31" s="342"/>
      <c r="O31" s="342"/>
    </row>
    <row r="32" spans="1:61">
      <c r="D32" s="342"/>
      <c r="E32" s="655">
        <f>F32*3.6</f>
        <v>5167.2205178744425</v>
      </c>
      <c r="F32" s="655">
        <f>'Realizacja harmonogramu 2016-20'!V13+'Osiągnięcie celów 2016-2020'!F16</f>
        <v>1435.3390327429006</v>
      </c>
      <c r="G32" s="655">
        <v>0</v>
      </c>
      <c r="H32" s="655">
        <v>0</v>
      </c>
      <c r="I32" s="655">
        <f>'Realizacja harmonogramu 2016-20'!X13+'Osiągnięcie celów 2016-2020'!I16</f>
        <v>0</v>
      </c>
      <c r="J32" s="655">
        <f>'Realizacja harmonogramu 2016-20'!Y13+'Osiągnięcie celów 2016-2020'!J16</f>
        <v>0</v>
      </c>
      <c r="K32" s="655">
        <f>'Realizacja harmonogramu 2016-20'!Z13+'Osiągnięcie celów 2016-2020'!K16</f>
        <v>601.94876836427375</v>
      </c>
      <c r="L32" s="655">
        <f>'Realizacja harmonogramu 2016-20'!AA13+'Osiągnięcie celów 2016-2020'!L16</f>
        <v>0</v>
      </c>
      <c r="M32" s="342"/>
      <c r="N32" s="342"/>
      <c r="O32" s="342"/>
    </row>
    <row r="33" spans="3:15">
      <c r="D33" s="661" t="s">
        <v>718</v>
      </c>
      <c r="E33" s="662">
        <f>E32/E30</f>
        <v>0.48746278081680844</v>
      </c>
      <c r="F33" s="662">
        <f t="shared" ref="F33:L33" si="51">F32/F30</f>
        <v>0.48746278081680838</v>
      </c>
      <c r="G33" s="662">
        <f t="shared" si="51"/>
        <v>0</v>
      </c>
      <c r="H33" s="662">
        <f t="shared" si="51"/>
        <v>0</v>
      </c>
      <c r="I33" s="662">
        <f t="shared" si="51"/>
        <v>0</v>
      </c>
      <c r="J33" s="662">
        <f t="shared" si="51"/>
        <v>0</v>
      </c>
      <c r="K33" s="662">
        <f t="shared" si="51"/>
        <v>0.7421113364864742</v>
      </c>
      <c r="L33" s="662">
        <f t="shared" si="51"/>
        <v>0</v>
      </c>
      <c r="M33" s="342"/>
      <c r="N33" s="342"/>
      <c r="O33" s="342"/>
    </row>
    <row r="34" spans="3:15" ht="15">
      <c r="D34" s="342"/>
      <c r="E34" s="660" t="s">
        <v>729</v>
      </c>
      <c r="F34" s="654"/>
      <c r="G34" s="342"/>
      <c r="H34" s="342"/>
      <c r="I34" s="342"/>
      <c r="J34" s="342"/>
      <c r="K34" s="342"/>
      <c r="L34" s="342"/>
      <c r="M34" s="342"/>
      <c r="N34" s="342"/>
      <c r="O34" s="342"/>
    </row>
    <row r="35" spans="3:15">
      <c r="C35"/>
      <c r="D35" s="342"/>
      <c r="E35" s="655">
        <f>E27</f>
        <v>14947.552518738266</v>
      </c>
      <c r="F35" s="655">
        <f t="shared" ref="F35:L35" si="52">F27</f>
        <v>4152.0979218717403</v>
      </c>
      <c r="G35" s="655">
        <f t="shared" si="52"/>
        <v>2956.9488331094694</v>
      </c>
      <c r="H35" s="655">
        <f t="shared" si="52"/>
        <v>821374.67586374143</v>
      </c>
      <c r="I35" s="655">
        <f t="shared" si="52"/>
        <v>3.7043573717237335</v>
      </c>
      <c r="J35" s="655">
        <f t="shared" si="52"/>
        <v>3.6503117599743073</v>
      </c>
      <c r="K35" s="655">
        <f t="shared" si="52"/>
        <v>1578.6966402332798</v>
      </c>
      <c r="L35" s="655">
        <f t="shared" si="52"/>
        <v>2.1161708481199915E-3</v>
      </c>
      <c r="M35" s="342"/>
      <c r="N35" s="342"/>
      <c r="O35" s="342"/>
    </row>
    <row r="36" spans="3:15">
      <c r="C36"/>
      <c r="D36" s="661" t="s">
        <v>718</v>
      </c>
      <c r="E36" s="662">
        <f>E35/E30</f>
        <v>1.4101150690171678</v>
      </c>
      <c r="F36" s="662">
        <f t="shared" ref="F36:L36" si="53">F35/F30</f>
        <v>1.4101150690171675</v>
      </c>
      <c r="G36" s="662">
        <f t="shared" si="53"/>
        <v>22.435801034245877</v>
      </c>
      <c r="H36" s="662">
        <f t="shared" si="53"/>
        <v>22.435801034245873</v>
      </c>
      <c r="I36" s="662">
        <f t="shared" si="53"/>
        <v>10.289881588121482</v>
      </c>
      <c r="J36" s="662">
        <f t="shared" si="53"/>
        <v>10.736211058747964</v>
      </c>
      <c r="K36" s="662">
        <f t="shared" si="53"/>
        <v>1.9462929989437945</v>
      </c>
      <c r="L36" s="662">
        <f t="shared" si="53"/>
        <v>5.2904271202999795E-3</v>
      </c>
      <c r="M36" s="342"/>
      <c r="N36" s="342"/>
      <c r="O36" s="342"/>
    </row>
    <row r="37" spans="3:15" ht="15">
      <c r="C37"/>
      <c r="D37" s="342"/>
      <c r="E37" s="660" t="s">
        <v>730</v>
      </c>
      <c r="F37" s="654"/>
      <c r="G37" s="342"/>
      <c r="H37" s="342"/>
      <c r="I37" s="342"/>
      <c r="J37" s="342"/>
      <c r="K37" s="342"/>
      <c r="L37" s="342"/>
      <c r="M37" s="342"/>
      <c r="N37" s="342"/>
      <c r="O37" s="342"/>
    </row>
    <row r="38" spans="3:15">
      <c r="C38"/>
      <c r="D38" s="653"/>
      <c r="E38" s="655">
        <f>E32+E35</f>
        <v>20114.773036612707</v>
      </c>
      <c r="F38" s="655">
        <f t="shared" ref="F38:L38" si="54">F32+F35</f>
        <v>5587.4369546146409</v>
      </c>
      <c r="G38" s="655">
        <f t="shared" si="54"/>
        <v>2956.9488331094694</v>
      </c>
      <c r="H38" s="655">
        <f t="shared" si="54"/>
        <v>821374.67586374143</v>
      </c>
      <c r="I38" s="655">
        <f t="shared" si="54"/>
        <v>3.7043573717237335</v>
      </c>
      <c r="J38" s="655">
        <f t="shared" si="54"/>
        <v>3.6503117599743073</v>
      </c>
      <c r="K38" s="655">
        <f t="shared" si="54"/>
        <v>2180.6454085975538</v>
      </c>
      <c r="L38" s="655">
        <f t="shared" si="54"/>
        <v>2.1161708481199915E-3</v>
      </c>
      <c r="M38" s="342"/>
      <c r="N38" s="342"/>
      <c r="O38" s="342"/>
    </row>
    <row r="39" spans="3:15">
      <c r="C39"/>
      <c r="D39" s="661" t="s">
        <v>718</v>
      </c>
      <c r="E39" s="662">
        <f>E38/E30</f>
        <v>1.8975778498339759</v>
      </c>
      <c r="F39" s="662">
        <f t="shared" ref="F39:L39" si="55">F38/F30</f>
        <v>1.8975778498339759</v>
      </c>
      <c r="G39" s="662">
        <f t="shared" si="55"/>
        <v>22.435801034245877</v>
      </c>
      <c r="H39" s="662">
        <f t="shared" si="55"/>
        <v>22.435801034245873</v>
      </c>
      <c r="I39" s="662">
        <f t="shared" si="55"/>
        <v>10.289881588121482</v>
      </c>
      <c r="J39" s="662">
        <f t="shared" si="55"/>
        <v>10.736211058747964</v>
      </c>
      <c r="K39" s="662">
        <f t="shared" si="55"/>
        <v>2.6884043354302691</v>
      </c>
      <c r="L39" s="662">
        <f t="shared" si="55"/>
        <v>5.2904271202999795E-3</v>
      </c>
      <c r="M39" s="342"/>
      <c r="N39" s="342"/>
      <c r="O39" s="342"/>
    </row>
    <row r="40" spans="3:15">
      <c r="C40"/>
      <c r="D40" s="342"/>
      <c r="E40" s="654"/>
      <c r="F40" s="654"/>
      <c r="G40" s="342"/>
      <c r="H40" s="342"/>
      <c r="I40" s="342"/>
      <c r="J40" s="342"/>
      <c r="K40" s="342"/>
      <c r="L40" s="342"/>
      <c r="M40" s="342"/>
      <c r="N40" s="342"/>
      <c r="O40" s="342"/>
    </row>
    <row r="41" spans="3:15">
      <c r="C41"/>
      <c r="D41"/>
    </row>
    <row r="42" spans="3:15">
      <c r="C42"/>
      <c r="D42"/>
    </row>
    <row r="43" spans="3:15">
      <c r="C43"/>
      <c r="D43"/>
    </row>
    <row r="44" spans="3:15">
      <c r="C44"/>
      <c r="D44"/>
    </row>
    <row r="45" spans="3:15">
      <c r="C45"/>
      <c r="D45"/>
    </row>
    <row r="46" spans="3:15">
      <c r="C46"/>
      <c r="D46"/>
    </row>
  </sheetData>
  <mergeCells count="35">
    <mergeCell ref="A2:O2"/>
    <mergeCell ref="A3:A4"/>
    <mergeCell ref="B3:B4"/>
    <mergeCell ref="E3:E4"/>
    <mergeCell ref="F3:F4"/>
    <mergeCell ref="G3:H3"/>
    <mergeCell ref="I3:O3"/>
    <mergeCell ref="C3:C4"/>
    <mergeCell ref="D3:D4"/>
    <mergeCell ref="BF3:BF4"/>
    <mergeCell ref="BG3:BG4"/>
    <mergeCell ref="BH3:BH4"/>
    <mergeCell ref="BI3:BI4"/>
    <mergeCell ref="T3:T4"/>
    <mergeCell ref="U3:AA3"/>
    <mergeCell ref="AB3:AB4"/>
    <mergeCell ref="AC3:AI3"/>
    <mergeCell ref="AV3:AV4"/>
    <mergeCell ref="AW3:AW4"/>
    <mergeCell ref="R17:R18"/>
    <mergeCell ref="D6:D7"/>
    <mergeCell ref="D8:D9"/>
    <mergeCell ref="AX3:BD3"/>
    <mergeCell ref="BE3:BE4"/>
    <mergeCell ref="S17:S18"/>
    <mergeCell ref="T17:T18"/>
    <mergeCell ref="U17:AA17"/>
    <mergeCell ref="AB17:AB18"/>
    <mergeCell ref="AC17:AI17"/>
    <mergeCell ref="A27:B27"/>
    <mergeCell ref="A26:B26"/>
    <mergeCell ref="D19:D24"/>
    <mergeCell ref="A5:O5"/>
    <mergeCell ref="A13:B13"/>
    <mergeCell ref="A14:O15"/>
  </mergeCells>
  <phoneticPr fontId="75" type="noConversion"/>
  <pageMargins left="0.7" right="0.7" top="0.75" bottom="0.75" header="0.3" footer="0.3"/>
  <pageSetup paperSize="9" orientation="portrait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H121"/>
  <sheetViews>
    <sheetView zoomScaleNormal="100" workbookViewId="0">
      <pane xSplit="3" ySplit="5" topLeftCell="D15" activePane="bottomRight" state="frozen"/>
      <selection pane="topRight" activeCell="C1" sqref="C1"/>
      <selection pane="bottomLeft" activeCell="A6" sqref="A6"/>
      <selection pane="bottomRight" activeCell="K34" sqref="K34"/>
    </sheetView>
  </sheetViews>
  <sheetFormatPr defaultRowHeight="14.25"/>
  <cols>
    <col min="1" max="1" width="2.75" customWidth="1"/>
    <col min="3" max="3" width="20.625" style="554" customWidth="1"/>
    <col min="4" max="5" width="8.875" style="6" customWidth="1"/>
    <col min="6" max="6" width="8.75" customWidth="1"/>
    <col min="7" max="7" width="10.375" customWidth="1"/>
    <col min="8" max="9" width="9.5" customWidth="1"/>
    <col min="10" max="10" width="9.125" customWidth="1"/>
    <col min="11" max="11" width="6.875" customWidth="1"/>
    <col min="12" max="13" width="7.5" bestFit="1" customWidth="1"/>
    <col min="14" max="14" width="8.75" bestFit="1" customWidth="1"/>
    <col min="15" max="15" width="12.375" customWidth="1"/>
    <col min="16" max="16" width="5.25" customWidth="1"/>
    <col min="17" max="17" width="10.75" customWidth="1"/>
    <col min="18" max="18" width="8.25" customWidth="1"/>
    <col min="19" max="19" width="12.75" customWidth="1"/>
    <col min="20" max="20" width="8" bestFit="1" customWidth="1"/>
    <col min="21" max="21" width="7.125" customWidth="1"/>
    <col min="22" max="22" width="6.75" customWidth="1"/>
    <col min="23" max="23" width="5.75" bestFit="1" customWidth="1"/>
    <col min="24" max="24" width="5.625" customWidth="1"/>
    <col min="25" max="25" width="7.125" customWidth="1"/>
    <col min="26" max="26" width="5" customWidth="1"/>
    <col min="27" max="27" width="11.125" customWidth="1"/>
    <col min="28" max="28" width="5" bestFit="1" customWidth="1"/>
    <col min="29" max="29" width="6.75" customWidth="1"/>
    <col min="30" max="30" width="5.875" customWidth="1"/>
    <col min="31" max="31" width="3.5" bestFit="1" customWidth="1"/>
    <col min="32" max="32" width="4.375" bestFit="1" customWidth="1"/>
    <col min="33" max="34" width="3.5" customWidth="1"/>
    <col min="35" max="35" width="2.5" customWidth="1"/>
    <col min="36" max="36" width="8.625" style="548" customWidth="1"/>
    <col min="37" max="37" width="6.125" style="548" customWidth="1"/>
    <col min="38" max="38" width="6.875" style="548" customWidth="1"/>
    <col min="39" max="39" width="8.5" style="548" customWidth="1"/>
    <col min="40" max="40" width="10.5" style="548" customWidth="1"/>
    <col min="41" max="41" width="9" style="548"/>
    <col min="42" max="42" width="8.125" style="548" customWidth="1"/>
    <col min="43" max="43" width="6.75" style="548" customWidth="1"/>
    <col min="44" max="44" width="10.75" style="548" customWidth="1"/>
    <col min="45" max="45" width="5.125" style="548" customWidth="1"/>
    <col min="46" max="46" width="5.625" style="548" bestFit="1" customWidth="1"/>
    <col min="47" max="47" width="7.625" style="548" customWidth="1"/>
    <col min="48" max="48" width="7.875" style="548" customWidth="1"/>
    <col min="49" max="49" width="5.625" style="548" bestFit="1" customWidth="1"/>
    <col min="50" max="50" width="5" style="548" bestFit="1" customWidth="1"/>
    <col min="51" max="51" width="6.375" style="548" bestFit="1" customWidth="1"/>
    <col min="52" max="52" width="4.125" style="548" bestFit="1" customWidth="1"/>
    <col min="53" max="55" width="4.125" bestFit="1" customWidth="1"/>
    <col min="56" max="56" width="9.875" bestFit="1" customWidth="1"/>
  </cols>
  <sheetData>
    <row r="1" spans="1:60" ht="15">
      <c r="B1" s="407" t="s">
        <v>719</v>
      </c>
      <c r="D1" s="595"/>
      <c r="E1" s="594"/>
      <c r="F1" s="594"/>
      <c r="G1" s="594"/>
      <c r="H1" s="594"/>
      <c r="I1" s="594"/>
      <c r="J1" s="594"/>
      <c r="K1" s="594"/>
      <c r="L1" s="594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7"/>
      <c r="AH1" s="547"/>
      <c r="AI1" s="547"/>
      <c r="AJ1" s="547"/>
      <c r="AK1" s="547"/>
      <c r="AL1" s="547"/>
      <c r="AM1" s="547"/>
      <c r="AN1" s="547"/>
    </row>
    <row r="2" spans="1:60" ht="15">
      <c r="A2" s="868" t="s">
        <v>471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70"/>
      <c r="O2" s="590"/>
      <c r="P2" s="590"/>
      <c r="AJ2" s="549" t="s">
        <v>472</v>
      </c>
      <c r="AK2"/>
      <c r="AL2"/>
      <c r="AM2"/>
      <c r="AN2"/>
      <c r="AO2"/>
      <c r="AP2"/>
      <c r="AQ2"/>
      <c r="AR2"/>
      <c r="AU2" s="549" t="s">
        <v>507</v>
      </c>
    </row>
    <row r="3" spans="1:60" ht="48.75" customHeight="1">
      <c r="A3" s="871" t="s">
        <v>473</v>
      </c>
      <c r="B3" s="872" t="s">
        <v>474</v>
      </c>
      <c r="C3" s="872"/>
      <c r="D3" s="873" t="s">
        <v>475</v>
      </c>
      <c r="E3" s="873" t="s">
        <v>560</v>
      </c>
      <c r="F3" s="873" t="s">
        <v>550</v>
      </c>
      <c r="G3" s="873"/>
      <c r="H3" s="874" t="s">
        <v>554</v>
      </c>
      <c r="I3" s="874"/>
      <c r="J3" s="874"/>
      <c r="K3" s="874"/>
      <c r="L3" s="874"/>
      <c r="M3" s="874"/>
      <c r="N3" s="874"/>
      <c r="O3" s="591"/>
      <c r="P3" s="591"/>
      <c r="S3" s="864" t="s">
        <v>563</v>
      </c>
      <c r="T3" s="865" t="s">
        <v>555</v>
      </c>
      <c r="U3" s="866"/>
      <c r="V3" s="866"/>
      <c r="W3" s="866"/>
      <c r="X3" s="866"/>
      <c r="Y3" s="866"/>
      <c r="Z3" s="867"/>
      <c r="AA3" s="864" t="s">
        <v>478</v>
      </c>
      <c r="AB3" s="865" t="s">
        <v>556</v>
      </c>
      <c r="AC3" s="866"/>
      <c r="AD3" s="866"/>
      <c r="AE3" s="866"/>
      <c r="AF3" s="866"/>
      <c r="AG3" s="866"/>
      <c r="AH3" s="867"/>
      <c r="AJ3" s="550" t="s">
        <v>480</v>
      </c>
      <c r="AK3" s="550" t="s">
        <v>236</v>
      </c>
      <c r="AL3" s="550" t="s">
        <v>481</v>
      </c>
      <c r="AM3" s="550" t="s">
        <v>482</v>
      </c>
      <c r="AN3" s="550" t="s">
        <v>483</v>
      </c>
      <c r="AO3" s="550" t="s">
        <v>484</v>
      </c>
      <c r="AP3" s="550" t="s">
        <v>485</v>
      </c>
      <c r="AQ3" s="551" t="s">
        <v>486</v>
      </c>
      <c r="AR3" s="550" t="s">
        <v>487</v>
      </c>
      <c r="AU3" s="857" t="s">
        <v>557</v>
      </c>
      <c r="AV3" s="857" t="s">
        <v>476</v>
      </c>
      <c r="AW3" s="854" t="s">
        <v>508</v>
      </c>
      <c r="AX3" s="855"/>
      <c r="AY3" s="855"/>
      <c r="AZ3" s="855"/>
      <c r="BA3" s="855"/>
      <c r="BB3" s="855"/>
      <c r="BC3" s="856"/>
      <c r="BD3" s="857" t="s">
        <v>564</v>
      </c>
      <c r="BE3" s="857" t="s">
        <v>476</v>
      </c>
      <c r="BF3" s="857" t="s">
        <v>509</v>
      </c>
      <c r="BG3" s="857" t="s">
        <v>562</v>
      </c>
      <c r="BH3" s="857" t="s">
        <v>476</v>
      </c>
    </row>
    <row r="4" spans="1:60">
      <c r="A4" s="871"/>
      <c r="B4" s="872"/>
      <c r="C4" s="872"/>
      <c r="D4" s="873"/>
      <c r="E4" s="873"/>
      <c r="F4" s="587" t="s">
        <v>551</v>
      </c>
      <c r="G4" s="587" t="s">
        <v>552</v>
      </c>
      <c r="H4" s="586" t="s">
        <v>66</v>
      </c>
      <c r="I4" s="586" t="s">
        <v>67</v>
      </c>
      <c r="J4" s="587" t="s">
        <v>100</v>
      </c>
      <c r="K4" s="586" t="s">
        <v>69</v>
      </c>
      <c r="L4" s="586" t="s">
        <v>198</v>
      </c>
      <c r="M4" s="586" t="s">
        <v>139</v>
      </c>
      <c r="N4" s="586" t="s">
        <v>72</v>
      </c>
      <c r="O4" s="591"/>
      <c r="P4" s="557"/>
      <c r="S4" s="864"/>
      <c r="T4" s="567" t="s">
        <v>66</v>
      </c>
      <c r="U4" s="567" t="s">
        <v>67</v>
      </c>
      <c r="V4" s="568" t="s">
        <v>100</v>
      </c>
      <c r="W4" s="567" t="s">
        <v>69</v>
      </c>
      <c r="X4" s="567" t="s">
        <v>198</v>
      </c>
      <c r="Y4" s="567" t="s">
        <v>139</v>
      </c>
      <c r="Z4" s="567" t="s">
        <v>72</v>
      </c>
      <c r="AA4" s="864"/>
      <c r="AB4" s="567" t="s">
        <v>66</v>
      </c>
      <c r="AC4" s="567" t="s">
        <v>67</v>
      </c>
      <c r="AD4" s="568" t="s">
        <v>100</v>
      </c>
      <c r="AE4" s="567" t="s">
        <v>69</v>
      </c>
      <c r="AF4" s="567" t="s">
        <v>198</v>
      </c>
      <c r="AG4" s="567" t="s">
        <v>139</v>
      </c>
      <c r="AH4" s="567" t="s">
        <v>72</v>
      </c>
      <c r="AJ4" s="569" t="s">
        <v>488</v>
      </c>
      <c r="AK4" s="569" t="s">
        <v>489</v>
      </c>
      <c r="AL4" s="569" t="s">
        <v>490</v>
      </c>
      <c r="AM4" s="569" t="s">
        <v>491</v>
      </c>
      <c r="AN4" s="569" t="s">
        <v>488</v>
      </c>
      <c r="AO4" s="569" t="s">
        <v>491</v>
      </c>
      <c r="AP4" s="569" t="s">
        <v>492</v>
      </c>
      <c r="AQ4" s="570"/>
      <c r="AR4" s="571"/>
      <c r="AU4" s="858"/>
      <c r="AV4" s="858"/>
      <c r="AW4" s="555" t="s">
        <v>66</v>
      </c>
      <c r="AX4" s="555" t="s">
        <v>67</v>
      </c>
      <c r="AY4" s="556" t="s">
        <v>100</v>
      </c>
      <c r="AZ4" s="555" t="s">
        <v>69</v>
      </c>
      <c r="BA4" s="555" t="s">
        <v>198</v>
      </c>
      <c r="BB4" s="555" t="s">
        <v>139</v>
      </c>
      <c r="BC4" s="555" t="s">
        <v>72</v>
      </c>
      <c r="BD4" s="858"/>
      <c r="BE4" s="858"/>
      <c r="BF4" s="858"/>
      <c r="BG4" s="858"/>
      <c r="BH4" s="858"/>
    </row>
    <row r="5" spans="1:60">
      <c r="A5" s="851" t="s">
        <v>493</v>
      </c>
      <c r="B5" s="852"/>
      <c r="C5" s="852"/>
      <c r="D5" s="852"/>
      <c r="E5" s="852"/>
      <c r="F5" s="852"/>
      <c r="G5" s="852"/>
      <c r="H5" s="852"/>
      <c r="I5" s="852"/>
      <c r="J5" s="852"/>
      <c r="K5" s="852"/>
      <c r="L5" s="852"/>
      <c r="M5" s="852"/>
      <c r="N5" s="853"/>
      <c r="O5" s="591"/>
      <c r="P5" s="575"/>
      <c r="Z5" s="557"/>
      <c r="AA5" s="557"/>
      <c r="AB5" s="557"/>
      <c r="AC5" s="557"/>
      <c r="AD5" s="557"/>
      <c r="AE5" s="557"/>
      <c r="AF5" s="557"/>
      <c r="AG5" s="557"/>
      <c r="AH5" s="557"/>
      <c r="AJ5" s="572"/>
      <c r="AK5" s="572"/>
      <c r="AL5" s="572"/>
      <c r="AM5" s="572"/>
      <c r="AN5" s="572"/>
      <c r="AO5" s="572"/>
      <c r="AP5" s="572"/>
      <c r="AQ5" s="572"/>
      <c r="AR5" s="572"/>
      <c r="BD5" s="548"/>
    </row>
    <row r="6" spans="1:60" ht="24" hidden="1" customHeight="1">
      <c r="A6" s="597">
        <v>1</v>
      </c>
      <c r="B6" s="897"/>
      <c r="C6" s="897"/>
      <c r="D6" s="573">
        <f>S6-AA6</f>
        <v>0</v>
      </c>
      <c r="E6" s="573">
        <f>D6/3.6</f>
        <v>0</v>
      </c>
      <c r="F6" s="573">
        <f>BE6+AV6</f>
        <v>0</v>
      </c>
      <c r="G6" s="573">
        <f t="shared" ref="G6:G14" si="0">F6/3.6*1000</f>
        <v>0</v>
      </c>
      <c r="H6" s="573">
        <f t="shared" ref="H6:I14" si="1">T6-AB6</f>
        <v>0</v>
      </c>
      <c r="I6" s="573">
        <f t="shared" si="1"/>
        <v>0</v>
      </c>
      <c r="J6" s="573">
        <f t="shared" ref="J6:J14" si="2">V6-AD6+BF6</f>
        <v>0</v>
      </c>
      <c r="K6" s="573">
        <f t="shared" ref="K6:N14" si="3">W6-AE6</f>
        <v>0</v>
      </c>
      <c r="L6" s="573">
        <f t="shared" si="3"/>
        <v>0</v>
      </c>
      <c r="M6" s="573">
        <f t="shared" si="3"/>
        <v>0</v>
      </c>
      <c r="N6" s="573">
        <f t="shared" si="3"/>
        <v>0</v>
      </c>
      <c r="O6" s="591"/>
      <c r="S6" s="573"/>
      <c r="T6" s="573">
        <f>$S6*'Wskaźniki emisji, założenia'!B11/1000000</f>
        <v>0</v>
      </c>
      <c r="U6" s="573">
        <f>$S6*'Wskaźniki emisji, założenia'!C11/1000000</f>
        <v>0</v>
      </c>
      <c r="V6" s="573">
        <f>$S6*'Wskaźniki emisji, założenia'!D11/1000000</f>
        <v>0</v>
      </c>
      <c r="W6" s="573">
        <f>$S6*'Wskaźniki emisji, założenia'!E11/1000000</f>
        <v>0</v>
      </c>
      <c r="X6" s="573">
        <f>$S6*'Wskaźniki emisji, założenia'!F11/1000000</f>
        <v>0</v>
      </c>
      <c r="Y6" s="573">
        <f>$S6*'Wskaźniki emisji, założenia'!G11/1000000</f>
        <v>0</v>
      </c>
      <c r="Z6" s="573">
        <f>$S6*'Wskaźniki emisji, założenia'!H11/1000000</f>
        <v>0</v>
      </c>
      <c r="AA6" s="573">
        <f t="shared" ref="AA6:AA14" si="4">(1-$AQ6)*S6</f>
        <v>0</v>
      </c>
      <c r="AB6" s="573">
        <f>$AA6*'Wskaźniki emisji, założenia'!B4/1000000</f>
        <v>0</v>
      </c>
      <c r="AC6" s="573">
        <f>$AA6*'Wskaźniki emisji, założenia'!C4/1000000</f>
        <v>0</v>
      </c>
      <c r="AD6" s="573">
        <f>$AA6*'Wskaźniki emisji, założenia'!D4/1000000</f>
        <v>0</v>
      </c>
      <c r="AE6" s="573">
        <f>$AA6*'Wskaźniki emisji, założenia'!E4/1000000</f>
        <v>0</v>
      </c>
      <c r="AF6" s="573">
        <f>$AA6*'Wskaźniki emisji, założenia'!F4/1000000</f>
        <v>0</v>
      </c>
      <c r="AG6" s="573">
        <f>$AA6*'Wskaźniki emisji, założenia'!G4/1000000</f>
        <v>0</v>
      </c>
      <c r="AH6" s="573">
        <f>$AA6*'Wskaźniki emisji, założenia'!H4/1000000</f>
        <v>0</v>
      </c>
      <c r="AI6" s="554"/>
      <c r="AJ6" s="574">
        <v>0.12</v>
      </c>
      <c r="AK6" s="574">
        <v>0.18</v>
      </c>
      <c r="AL6" s="574">
        <v>0.04</v>
      </c>
      <c r="AM6" s="574">
        <v>0.12</v>
      </c>
      <c r="AN6" s="574">
        <v>0</v>
      </c>
      <c r="AO6" s="574">
        <v>0</v>
      </c>
      <c r="AP6" s="574">
        <v>0</v>
      </c>
      <c r="AQ6" s="574">
        <f t="shared" ref="AQ6:AQ14" si="5">100%-(100%-AJ6)*(100%-AK6)*(100%-AL6)*(100%-AM6)*(100%-AN6)*(100%-AO6)*(100%-AP6)</f>
        <v>0.39039232000000001</v>
      </c>
      <c r="AR6" s="598">
        <f t="shared" ref="AR6:AR14" si="6">100%-AQ6</f>
        <v>0.60960767999999999</v>
      </c>
      <c r="AU6" s="573"/>
      <c r="AV6" s="573">
        <f t="shared" ref="AV6:AV14" si="7">AU6*520*3.6/1000</f>
        <v>0</v>
      </c>
      <c r="AW6" s="573"/>
      <c r="AX6" s="573"/>
      <c r="AY6" s="573"/>
      <c r="AZ6" s="573"/>
      <c r="BA6" s="573"/>
      <c r="BB6" s="573"/>
      <c r="BC6" s="573"/>
      <c r="BD6" s="573"/>
      <c r="BE6" s="573">
        <f t="shared" ref="BE6:BE14" si="8">BD6*1*3.6</f>
        <v>0</v>
      </c>
      <c r="BF6" s="573">
        <f>BE6*'Wskaźniki emisji, założenia'!$C$72/3.6</f>
        <v>0</v>
      </c>
      <c r="BG6" s="3"/>
      <c r="BH6" s="558">
        <f t="shared" ref="BH6:BH14" si="9">BG6*1.25*3.6</f>
        <v>0</v>
      </c>
    </row>
    <row r="7" spans="1:60" ht="27" hidden="1" customHeight="1">
      <c r="A7" s="597">
        <v>2</v>
      </c>
      <c r="B7" s="898"/>
      <c r="C7" s="899"/>
      <c r="D7" s="573">
        <f t="shared" ref="D7:D14" si="10">S7-AA7</f>
        <v>0</v>
      </c>
      <c r="E7" s="573">
        <f t="shared" ref="E7:E14" si="11">D7/3.6</f>
        <v>0</v>
      </c>
      <c r="F7" s="573">
        <f>BE7+AV7+BH7</f>
        <v>0</v>
      </c>
      <c r="G7" s="573">
        <f t="shared" si="0"/>
        <v>0</v>
      </c>
      <c r="H7" s="573">
        <f t="shared" si="1"/>
        <v>0</v>
      </c>
      <c r="I7" s="573">
        <f t="shared" si="1"/>
        <v>0</v>
      </c>
      <c r="J7" s="573">
        <f t="shared" si="2"/>
        <v>0</v>
      </c>
      <c r="K7" s="573">
        <f t="shared" si="3"/>
        <v>0</v>
      </c>
      <c r="L7" s="573">
        <f t="shared" si="3"/>
        <v>0</v>
      </c>
      <c r="M7" s="573">
        <f t="shared" si="3"/>
        <v>0</v>
      </c>
      <c r="N7" s="573">
        <f t="shared" si="3"/>
        <v>0</v>
      </c>
      <c r="O7" s="591"/>
      <c r="S7" s="573"/>
      <c r="T7" s="573">
        <f>$S7*'Wskaźniki emisji, założenia'!B11/1000000</f>
        <v>0</v>
      </c>
      <c r="U7" s="573">
        <f>$S7*'Wskaźniki emisji, założenia'!C11/1000000</f>
        <v>0</v>
      </c>
      <c r="V7" s="573">
        <f>$S7*'Wskaźniki emisji, założenia'!D11/1000000</f>
        <v>0</v>
      </c>
      <c r="W7" s="573">
        <f>$S7*'Wskaźniki emisji, założenia'!E11/1000000</f>
        <v>0</v>
      </c>
      <c r="X7" s="573">
        <f>$S7*'Wskaźniki emisji, założenia'!F11/1000000</f>
        <v>0</v>
      </c>
      <c r="Y7" s="573">
        <f>$S7*'Wskaźniki emisji, założenia'!G11/1000000</f>
        <v>0</v>
      </c>
      <c r="Z7" s="573">
        <f>$S7*'Wskaźniki emisji, założenia'!H11/1000000</f>
        <v>0</v>
      </c>
      <c r="AA7" s="573">
        <f t="shared" si="4"/>
        <v>0</v>
      </c>
      <c r="AB7" s="573">
        <f t="shared" ref="AB7:AH12" si="12">(1-$AQ7)*T7</f>
        <v>0</v>
      </c>
      <c r="AC7" s="573">
        <f t="shared" si="12"/>
        <v>0</v>
      </c>
      <c r="AD7" s="573">
        <f t="shared" si="12"/>
        <v>0</v>
      </c>
      <c r="AE7" s="573">
        <f t="shared" si="12"/>
        <v>0</v>
      </c>
      <c r="AF7" s="573">
        <f t="shared" si="12"/>
        <v>0</v>
      </c>
      <c r="AG7" s="573">
        <f t="shared" si="12"/>
        <v>0</v>
      </c>
      <c r="AH7" s="573">
        <f t="shared" si="12"/>
        <v>0</v>
      </c>
      <c r="AJ7" s="574">
        <v>0</v>
      </c>
      <c r="AK7" s="574">
        <v>0</v>
      </c>
      <c r="AL7" s="574">
        <v>0</v>
      </c>
      <c r="AM7" s="574">
        <v>0.12</v>
      </c>
      <c r="AN7" s="574">
        <v>0</v>
      </c>
      <c r="AO7" s="574">
        <v>0</v>
      </c>
      <c r="AP7" s="574">
        <v>0</v>
      </c>
      <c r="AQ7" s="574">
        <f t="shared" si="5"/>
        <v>0.12</v>
      </c>
      <c r="AR7" s="598">
        <f t="shared" si="6"/>
        <v>0.88</v>
      </c>
      <c r="AU7" s="406"/>
      <c r="AV7" s="573">
        <f t="shared" si="7"/>
        <v>0</v>
      </c>
      <c r="AW7" s="406"/>
      <c r="AX7" s="406"/>
      <c r="AY7" s="406"/>
      <c r="AZ7" s="406"/>
      <c r="BA7" s="3"/>
      <c r="BB7" s="3"/>
      <c r="BC7" s="3"/>
      <c r="BD7" s="573"/>
      <c r="BE7" s="573">
        <f t="shared" si="8"/>
        <v>0</v>
      </c>
      <c r="BF7" s="573">
        <f>BE7*'Wskaźniki emisji, założenia'!$C$72/3.6</f>
        <v>0</v>
      </c>
      <c r="BG7" s="558"/>
      <c r="BH7" s="558">
        <f t="shared" si="9"/>
        <v>0</v>
      </c>
    </row>
    <row r="8" spans="1:60" ht="27" hidden="1" customHeight="1">
      <c r="A8" s="597">
        <v>3</v>
      </c>
      <c r="B8" s="898"/>
      <c r="C8" s="899"/>
      <c r="D8" s="573">
        <f t="shared" ref="D8" si="13">S8-AA8</f>
        <v>0</v>
      </c>
      <c r="E8" s="573">
        <f t="shared" ref="E8" si="14">D8/3.6</f>
        <v>0</v>
      </c>
      <c r="F8" s="573">
        <f>BE8+AV8+BH8</f>
        <v>0</v>
      </c>
      <c r="G8" s="573">
        <f t="shared" ref="G8" si="15">F8/3.6*1000</f>
        <v>0</v>
      </c>
      <c r="H8" s="573">
        <f t="shared" ref="H8" si="16">T8-AB8</f>
        <v>0</v>
      </c>
      <c r="I8" s="573">
        <f t="shared" ref="I8" si="17">U8-AC8</f>
        <v>0</v>
      </c>
      <c r="J8" s="573">
        <f t="shared" ref="J8" si="18">V8-AD8+BF8</f>
        <v>0</v>
      </c>
      <c r="K8" s="573">
        <f t="shared" ref="K8" si="19">W8-AE8</f>
        <v>0</v>
      </c>
      <c r="L8" s="573">
        <f t="shared" ref="L8" si="20">X8-AF8</f>
        <v>0</v>
      </c>
      <c r="M8" s="573">
        <f t="shared" ref="M8" si="21">Y8-AG8</f>
        <v>0</v>
      </c>
      <c r="N8" s="573">
        <f t="shared" ref="N8" si="22">Z8-AH8</f>
        <v>0</v>
      </c>
      <c r="O8" s="591"/>
      <c r="S8" s="573"/>
      <c r="T8" s="573"/>
      <c r="U8" s="573"/>
      <c r="V8" s="573"/>
      <c r="W8" s="573"/>
      <c r="X8" s="573"/>
      <c r="Y8" s="573"/>
      <c r="Z8" s="573"/>
      <c r="AA8" s="573"/>
      <c r="AB8" s="573"/>
      <c r="AC8" s="573"/>
      <c r="AD8" s="573"/>
      <c r="AE8" s="573"/>
      <c r="AF8" s="573"/>
      <c r="AG8" s="573"/>
      <c r="AH8" s="573"/>
      <c r="AJ8" s="574"/>
      <c r="AK8" s="574"/>
      <c r="AL8" s="574"/>
      <c r="AM8" s="574"/>
      <c r="AN8" s="574"/>
      <c r="AO8" s="574"/>
      <c r="AP8" s="574"/>
      <c r="AQ8" s="574"/>
      <c r="AR8" s="598"/>
      <c r="AU8" s="406"/>
      <c r="AV8" s="573">
        <f t="shared" ref="AV8" si="23">AU8*520*3.6/1000</f>
        <v>0</v>
      </c>
      <c r="AW8" s="406"/>
      <c r="AX8" s="406"/>
      <c r="AY8" s="406"/>
      <c r="AZ8" s="406"/>
      <c r="BA8" s="3"/>
      <c r="BB8" s="3"/>
      <c r="BC8" s="3"/>
      <c r="BD8" s="573"/>
      <c r="BE8" s="573">
        <f t="shared" ref="BE8" si="24">BD8*1*3.6</f>
        <v>0</v>
      </c>
      <c r="BF8" s="573">
        <f>BE8*'Wskaźniki emisji, założenia'!$C$72/3.6</f>
        <v>0</v>
      </c>
      <c r="BG8" s="558"/>
      <c r="BH8" s="558">
        <f t="shared" ref="BH8" si="25">BG8*1.25*3.6</f>
        <v>0</v>
      </c>
    </row>
    <row r="9" spans="1:60" ht="24" hidden="1" customHeight="1">
      <c r="A9" s="597">
        <v>4</v>
      </c>
      <c r="B9" s="898"/>
      <c r="C9" s="899"/>
      <c r="D9" s="573">
        <f t="shared" si="10"/>
        <v>0</v>
      </c>
      <c r="E9" s="573">
        <f t="shared" si="11"/>
        <v>0</v>
      </c>
      <c r="F9" s="573">
        <f>BE9+AV9+BH9</f>
        <v>0</v>
      </c>
      <c r="G9" s="573">
        <f t="shared" si="0"/>
        <v>0</v>
      </c>
      <c r="H9" s="573">
        <f t="shared" si="1"/>
        <v>0</v>
      </c>
      <c r="I9" s="573">
        <f t="shared" si="1"/>
        <v>0</v>
      </c>
      <c r="J9" s="573">
        <f t="shared" si="2"/>
        <v>0</v>
      </c>
      <c r="K9" s="573">
        <f t="shared" si="3"/>
        <v>0</v>
      </c>
      <c r="L9" s="573">
        <f t="shared" si="3"/>
        <v>0</v>
      </c>
      <c r="M9" s="573">
        <f t="shared" si="3"/>
        <v>0</v>
      </c>
      <c r="N9" s="573">
        <f t="shared" si="3"/>
        <v>0</v>
      </c>
      <c r="O9" s="591"/>
      <c r="S9" s="573"/>
      <c r="T9" s="573">
        <f>$S9*'Wskaźniki emisji, założenia'!B4/1000000</f>
        <v>0</v>
      </c>
      <c r="U9" s="573">
        <f>$S9*'Wskaźniki emisji, założenia'!C4/1000000</f>
        <v>0</v>
      </c>
      <c r="V9" s="573">
        <f>$S9*'Wskaźniki emisji, założenia'!D4/1000000</f>
        <v>0</v>
      </c>
      <c r="W9" s="573">
        <f>$S9*'Wskaźniki emisji, założenia'!E4/1000000</f>
        <v>0</v>
      </c>
      <c r="X9" s="573">
        <f>$S9*'Wskaźniki emisji, założenia'!F4/1000000</f>
        <v>0</v>
      </c>
      <c r="Y9" s="573">
        <f>$S9*'Wskaźniki emisji, założenia'!G4/1000000</f>
        <v>0</v>
      </c>
      <c r="Z9" s="573">
        <f>$S9*'Wskaźniki emisji, założenia'!H4/1000000</f>
        <v>0</v>
      </c>
      <c r="AA9" s="573">
        <f t="shared" si="4"/>
        <v>0</v>
      </c>
      <c r="AB9" s="573">
        <f t="shared" si="12"/>
        <v>0</v>
      </c>
      <c r="AC9" s="573">
        <f t="shared" si="12"/>
        <v>0</v>
      </c>
      <c r="AD9" s="573">
        <f t="shared" si="12"/>
        <v>0</v>
      </c>
      <c r="AE9" s="573">
        <f t="shared" si="12"/>
        <v>0</v>
      </c>
      <c r="AF9" s="573">
        <f t="shared" si="12"/>
        <v>0</v>
      </c>
      <c r="AG9" s="573">
        <f t="shared" si="12"/>
        <v>0</v>
      </c>
      <c r="AH9" s="573">
        <f t="shared" si="12"/>
        <v>0</v>
      </c>
      <c r="AJ9" s="574"/>
      <c r="AK9" s="574"/>
      <c r="AL9" s="574"/>
      <c r="AM9" s="574">
        <v>0.12</v>
      </c>
      <c r="AN9" s="574"/>
      <c r="AO9" s="574"/>
      <c r="AP9" s="574"/>
      <c r="AQ9" s="574">
        <f t="shared" si="5"/>
        <v>0.12</v>
      </c>
      <c r="AR9" s="598">
        <f t="shared" si="6"/>
        <v>0.88</v>
      </c>
      <c r="AU9" s="406"/>
      <c r="AV9" s="573">
        <f t="shared" si="7"/>
        <v>0</v>
      </c>
      <c r="AW9" s="406"/>
      <c r="AX9" s="406"/>
      <c r="AY9" s="406"/>
      <c r="AZ9" s="406"/>
      <c r="BA9" s="3"/>
      <c r="BB9" s="3"/>
      <c r="BC9" s="3"/>
      <c r="BD9" s="573"/>
      <c r="BE9" s="573">
        <f t="shared" si="8"/>
        <v>0</v>
      </c>
      <c r="BF9" s="573">
        <f>BE9*'Wskaźniki emisji, założenia'!$C$72/3.6</f>
        <v>0</v>
      </c>
      <c r="BG9" s="558"/>
      <c r="BH9" s="558">
        <f t="shared" si="9"/>
        <v>0</v>
      </c>
    </row>
    <row r="10" spans="1:60" ht="24" hidden="1" customHeight="1">
      <c r="A10" s="597">
        <v>5</v>
      </c>
      <c r="B10" s="898"/>
      <c r="C10" s="899"/>
      <c r="D10" s="573">
        <f t="shared" ref="D10" si="26">S10-AA10</f>
        <v>0</v>
      </c>
      <c r="E10" s="573">
        <f t="shared" ref="E10" si="27">D10/3.6</f>
        <v>0</v>
      </c>
      <c r="F10" s="573">
        <f>BE10+AV10+BH10</f>
        <v>0</v>
      </c>
      <c r="G10" s="573">
        <f t="shared" ref="G10" si="28">F10/3.6*1000</f>
        <v>0</v>
      </c>
      <c r="H10" s="573">
        <f t="shared" ref="H10" si="29">T10-AB10</f>
        <v>0</v>
      </c>
      <c r="I10" s="573">
        <f t="shared" ref="I10" si="30">U10-AC10</f>
        <v>0</v>
      </c>
      <c r="J10" s="573">
        <f t="shared" ref="J10" si="31">V10-AD10+BF10</f>
        <v>0</v>
      </c>
      <c r="K10" s="573">
        <f t="shared" ref="K10" si="32">W10-AE10</f>
        <v>0</v>
      </c>
      <c r="L10" s="573">
        <f t="shared" ref="L10" si="33">X10-AF10</f>
        <v>0</v>
      </c>
      <c r="M10" s="573">
        <f t="shared" ref="M10" si="34">Y10-AG10</f>
        <v>0</v>
      </c>
      <c r="N10" s="573">
        <f t="shared" ref="N10" si="35">Z10-AH10</f>
        <v>0</v>
      </c>
      <c r="O10" s="591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J10" s="574"/>
      <c r="AK10" s="574"/>
      <c r="AL10" s="574"/>
      <c r="AM10" s="574"/>
      <c r="AN10" s="574"/>
      <c r="AO10" s="574"/>
      <c r="AP10" s="574"/>
      <c r="AQ10" s="574"/>
      <c r="AR10" s="598"/>
      <c r="AU10" s="406"/>
      <c r="AV10" s="573"/>
      <c r="AW10" s="406"/>
      <c r="AX10" s="406"/>
      <c r="AY10" s="406"/>
      <c r="AZ10" s="406"/>
      <c r="BA10" s="3"/>
      <c r="BB10" s="3"/>
      <c r="BC10" s="3"/>
      <c r="BD10" s="573"/>
      <c r="BE10" s="573">
        <f t="shared" ref="BE10" si="36">BD10*1*3.6</f>
        <v>0</v>
      </c>
      <c r="BF10" s="573">
        <f>BE10*'Wskaźniki emisji, założenia'!$C$72/3.6</f>
        <v>0</v>
      </c>
      <c r="BG10" s="558"/>
      <c r="BH10" s="558">
        <f t="shared" ref="BH10" si="37">BG10*1.25*3.6</f>
        <v>0</v>
      </c>
    </row>
    <row r="11" spans="1:60" ht="53.25" hidden="1" customHeight="1">
      <c r="A11" s="597">
        <v>6</v>
      </c>
      <c r="B11" s="897"/>
      <c r="C11" s="897"/>
      <c r="D11" s="573">
        <f t="shared" si="10"/>
        <v>0</v>
      </c>
      <c r="E11" s="573">
        <f t="shared" si="11"/>
        <v>0</v>
      </c>
      <c r="F11" s="573">
        <f>BE11+AV11</f>
        <v>0</v>
      </c>
      <c r="G11" s="573">
        <f t="shared" si="0"/>
        <v>0</v>
      </c>
      <c r="H11" s="573">
        <f t="shared" si="1"/>
        <v>0</v>
      </c>
      <c r="I11" s="573">
        <f t="shared" si="1"/>
        <v>0</v>
      </c>
      <c r="J11" s="573">
        <f t="shared" si="2"/>
        <v>0</v>
      </c>
      <c r="K11" s="573">
        <f t="shared" si="3"/>
        <v>0</v>
      </c>
      <c r="L11" s="573">
        <f t="shared" si="3"/>
        <v>0</v>
      </c>
      <c r="M11" s="573">
        <f t="shared" si="3"/>
        <v>0</v>
      </c>
      <c r="N11" s="573">
        <f t="shared" si="3"/>
        <v>0</v>
      </c>
      <c r="O11" s="591"/>
      <c r="P11" s="599"/>
      <c r="S11" s="573"/>
      <c r="T11" s="573">
        <f>$S11*AVERAGE('Wskaźniki emisji, założenia'!B32,'Wskaźniki emisji, założenia'!B42)/1000000</f>
        <v>0</v>
      </c>
      <c r="U11" s="573">
        <f>$S11*AVERAGE('Wskaźniki emisji, założenia'!C32,'Wskaźniki emisji, założenia'!C42)/1000000</f>
        <v>0</v>
      </c>
      <c r="V11" s="573">
        <f>$S11*AVERAGE('Wskaźniki emisji, założenia'!D32,'Wskaźniki emisji, założenia'!D42)/1000000</f>
        <v>0</v>
      </c>
      <c r="W11" s="573">
        <f>$S11*AVERAGE('Wskaźniki emisji, założenia'!E32,'Wskaźniki emisji, założenia'!E42)/1000000</f>
        <v>0</v>
      </c>
      <c r="X11" s="573">
        <f>$S11*AVERAGE('Wskaźniki emisji, założenia'!F32,'Wskaźniki emisji, założenia'!F42)/1000000</f>
        <v>0</v>
      </c>
      <c r="Y11" s="573">
        <f>$S11*AVERAGE('Wskaźniki emisji, założenia'!G32,'Wskaźniki emisji, założenia'!G42)/1000000</f>
        <v>0</v>
      </c>
      <c r="Z11" s="573">
        <f>$S11*AVERAGE('Wskaźniki emisji, założenia'!H32,'Wskaźniki emisji, założenia'!H42)/1000000</f>
        <v>0</v>
      </c>
      <c r="AA11" s="573">
        <f t="shared" si="4"/>
        <v>0</v>
      </c>
      <c r="AB11" s="573">
        <f>$AA$11*'Wskaźniki emisji, założenia'!B30/1000000</f>
        <v>0</v>
      </c>
      <c r="AC11" s="573">
        <f>$AA$11*'Wskaźniki emisji, założenia'!C30/1000000</f>
        <v>0</v>
      </c>
      <c r="AD11" s="573">
        <f>$AA$11*'Wskaźniki emisji, założenia'!D30/1000000</f>
        <v>0</v>
      </c>
      <c r="AE11" s="573">
        <f>$AA$11*'Wskaźniki emisji, założenia'!E30/1000000</f>
        <v>0</v>
      </c>
      <c r="AF11" s="573">
        <f>$AA$11*'Wskaźniki emisji, założenia'!F30/1000000</f>
        <v>0</v>
      </c>
      <c r="AG11" s="573">
        <f>$AA$11*'Wskaźniki emisji, założenia'!G30/1000000</f>
        <v>0</v>
      </c>
      <c r="AH11" s="573">
        <f>$AA$11*'Wskaźniki emisji, założenia'!H30/1000000</f>
        <v>0</v>
      </c>
      <c r="AI11" s="554"/>
      <c r="AJ11" s="574"/>
      <c r="AK11" s="574"/>
      <c r="AL11" s="574"/>
      <c r="AM11" s="574"/>
      <c r="AN11" s="574"/>
      <c r="AO11" s="574"/>
      <c r="AP11" s="574"/>
      <c r="AQ11" s="574">
        <v>0.3</v>
      </c>
      <c r="AR11" s="598">
        <f t="shared" si="6"/>
        <v>0.7</v>
      </c>
      <c r="AU11" s="573"/>
      <c r="AV11" s="573">
        <f t="shared" si="7"/>
        <v>0</v>
      </c>
      <c r="AW11" s="573"/>
      <c r="AX11" s="573"/>
      <c r="AY11" s="573"/>
      <c r="AZ11" s="573"/>
      <c r="BA11" s="573"/>
      <c r="BB11" s="573"/>
      <c r="BC11" s="573"/>
      <c r="BD11" s="573"/>
      <c r="BE11" s="573">
        <f t="shared" si="8"/>
        <v>0</v>
      </c>
      <c r="BF11" s="573">
        <f>BE11*'Wskaźniki emisji, założenia'!$C$72/3.6</f>
        <v>0</v>
      </c>
      <c r="BG11" s="3"/>
      <c r="BH11" s="558">
        <f t="shared" si="9"/>
        <v>0</v>
      </c>
    </row>
    <row r="12" spans="1:60" ht="31.5" hidden="1" customHeight="1">
      <c r="A12" s="597">
        <v>6</v>
      </c>
      <c r="B12" s="897"/>
      <c r="C12" s="897"/>
      <c r="D12" s="573">
        <f t="shared" si="10"/>
        <v>0</v>
      </c>
      <c r="E12" s="573">
        <f t="shared" si="11"/>
        <v>0</v>
      </c>
      <c r="F12" s="573">
        <f>BE12+AV12+BH12</f>
        <v>0</v>
      </c>
      <c r="G12" s="573">
        <f t="shared" si="0"/>
        <v>0</v>
      </c>
      <c r="H12" s="573">
        <f t="shared" si="1"/>
        <v>0</v>
      </c>
      <c r="I12" s="573">
        <f t="shared" si="1"/>
        <v>0</v>
      </c>
      <c r="J12" s="573">
        <f t="shared" si="2"/>
        <v>0</v>
      </c>
      <c r="K12" s="573">
        <f t="shared" si="3"/>
        <v>0</v>
      </c>
      <c r="L12" s="573">
        <f t="shared" si="3"/>
        <v>0</v>
      </c>
      <c r="M12" s="573">
        <f t="shared" si="3"/>
        <v>0</v>
      </c>
      <c r="N12" s="573">
        <f t="shared" si="3"/>
        <v>0</v>
      </c>
      <c r="O12" s="591"/>
      <c r="S12" s="573"/>
      <c r="T12" s="573">
        <f>$S12*'Wskaźniki emisji, założenia'!B7/1000000</f>
        <v>0</v>
      </c>
      <c r="U12" s="573">
        <f>$S12*'Wskaźniki emisji, założenia'!C7/1000000</f>
        <v>0</v>
      </c>
      <c r="V12" s="573">
        <f>$S12*'Wskaźniki emisji, założenia'!D7/1000000</f>
        <v>0</v>
      </c>
      <c r="W12" s="573">
        <f>$S12*'Wskaźniki emisji, założenia'!E7/1000000</f>
        <v>0</v>
      </c>
      <c r="X12" s="573">
        <f>$S12*'Wskaźniki emisji, założenia'!F7/1000000</f>
        <v>0</v>
      </c>
      <c r="Y12" s="573">
        <f>$S12*'Wskaźniki emisji, założenia'!G7/1000000</f>
        <v>0</v>
      </c>
      <c r="Z12" s="573">
        <f>$S12*'Wskaźniki emisji, założenia'!H7/1000000</f>
        <v>0</v>
      </c>
      <c r="AA12" s="573">
        <f t="shared" si="4"/>
        <v>0</v>
      </c>
      <c r="AB12" s="573">
        <f t="shared" si="12"/>
        <v>0</v>
      </c>
      <c r="AC12" s="573">
        <f t="shared" si="12"/>
        <v>0</v>
      </c>
      <c r="AD12" s="573">
        <f t="shared" si="12"/>
        <v>0</v>
      </c>
      <c r="AE12" s="573">
        <f t="shared" si="12"/>
        <v>0</v>
      </c>
      <c r="AF12" s="573">
        <f t="shared" si="12"/>
        <v>0</v>
      </c>
      <c r="AG12" s="573">
        <f t="shared" si="12"/>
        <v>0</v>
      </c>
      <c r="AH12" s="573">
        <f t="shared" si="12"/>
        <v>0</v>
      </c>
      <c r="AJ12" s="574"/>
      <c r="AK12" s="574"/>
      <c r="AL12" s="574"/>
      <c r="AM12" s="574"/>
      <c r="AN12" s="574"/>
      <c r="AO12" s="574"/>
      <c r="AP12" s="574"/>
      <c r="AQ12" s="574">
        <f t="shared" si="5"/>
        <v>0</v>
      </c>
      <c r="AR12" s="598">
        <f t="shared" si="6"/>
        <v>1</v>
      </c>
      <c r="AU12" s="406"/>
      <c r="AV12" s="573">
        <f t="shared" si="7"/>
        <v>0</v>
      </c>
      <c r="AW12" s="406"/>
      <c r="AX12" s="406"/>
      <c r="AY12" s="406"/>
      <c r="AZ12" s="406"/>
      <c r="BA12" s="3"/>
      <c r="BB12" s="3"/>
      <c r="BC12" s="3"/>
      <c r="BD12" s="573"/>
      <c r="BE12" s="573">
        <f t="shared" si="8"/>
        <v>0</v>
      </c>
      <c r="BF12" s="573">
        <f>BE12*'Wskaźniki emisji, założenia'!$C$72/3.6</f>
        <v>0</v>
      </c>
      <c r="BG12" s="558"/>
      <c r="BH12" s="558">
        <f t="shared" si="9"/>
        <v>0</v>
      </c>
    </row>
    <row r="13" spans="1:60" ht="24" hidden="1" customHeight="1">
      <c r="A13" s="597">
        <v>7</v>
      </c>
      <c r="B13" s="897"/>
      <c r="C13" s="897"/>
      <c r="D13" s="573">
        <f t="shared" si="10"/>
        <v>0</v>
      </c>
      <c r="E13" s="573">
        <f t="shared" si="11"/>
        <v>0</v>
      </c>
      <c r="F13" s="573">
        <f>BE13+AV13+BH13</f>
        <v>0</v>
      </c>
      <c r="G13" s="573">
        <f t="shared" si="0"/>
        <v>0</v>
      </c>
      <c r="H13" s="573">
        <f t="shared" si="1"/>
        <v>0</v>
      </c>
      <c r="I13" s="573">
        <f t="shared" si="1"/>
        <v>0</v>
      </c>
      <c r="J13" s="573">
        <f t="shared" si="2"/>
        <v>0</v>
      </c>
      <c r="K13" s="573">
        <f t="shared" si="3"/>
        <v>0</v>
      </c>
      <c r="L13" s="573">
        <f t="shared" si="3"/>
        <v>0</v>
      </c>
      <c r="M13" s="573">
        <f t="shared" si="3"/>
        <v>0</v>
      </c>
      <c r="N13" s="573">
        <f t="shared" si="3"/>
        <v>0</v>
      </c>
      <c r="O13" s="591"/>
      <c r="S13" s="573"/>
      <c r="T13" s="573">
        <f>$S13*'Wskaźniki emisji, założenia'!B4/1000000</f>
        <v>0</v>
      </c>
      <c r="U13" s="573">
        <f>$S13*'Wskaźniki emisji, założenia'!C4/1000000</f>
        <v>0</v>
      </c>
      <c r="V13" s="573">
        <f>$S13*'Wskaźniki emisji, założenia'!D4/1000000</f>
        <v>0</v>
      </c>
      <c r="W13" s="573">
        <f>$S13*'Wskaźniki emisji, założenia'!E4/1000000</f>
        <v>0</v>
      </c>
      <c r="X13" s="573">
        <f>$S13*'Wskaźniki emisji, założenia'!F4/1000000</f>
        <v>0</v>
      </c>
      <c r="Y13" s="573">
        <f>$S13*'Wskaźniki emisji, założenia'!G4/1000000</f>
        <v>0</v>
      </c>
      <c r="Z13" s="573">
        <f>$S13*'Wskaźniki emisji, założenia'!H4/1000000</f>
        <v>0</v>
      </c>
      <c r="AA13" s="573">
        <f t="shared" si="4"/>
        <v>0</v>
      </c>
      <c r="AB13" s="573">
        <f>$AA$13*'Wskaźniki emisji, założenia'!B7/1000000</f>
        <v>0</v>
      </c>
      <c r="AC13" s="573">
        <v>0</v>
      </c>
      <c r="AD13" s="573">
        <v>0</v>
      </c>
      <c r="AE13" s="573">
        <v>0</v>
      </c>
      <c r="AF13" s="573">
        <v>0</v>
      </c>
      <c r="AG13" s="573">
        <v>0</v>
      </c>
      <c r="AH13" s="573">
        <v>0</v>
      </c>
      <c r="AJ13" s="574"/>
      <c r="AK13" s="574"/>
      <c r="AL13" s="574"/>
      <c r="AM13" s="574"/>
      <c r="AN13" s="574"/>
      <c r="AO13" s="574"/>
      <c r="AP13" s="574"/>
      <c r="AQ13" s="574">
        <f t="shared" si="5"/>
        <v>0</v>
      </c>
      <c r="AR13" s="598">
        <f t="shared" si="6"/>
        <v>1</v>
      </c>
      <c r="AU13" s="406"/>
      <c r="AV13" s="573">
        <f t="shared" si="7"/>
        <v>0</v>
      </c>
      <c r="AW13" s="406"/>
      <c r="AX13" s="406"/>
      <c r="AY13" s="406"/>
      <c r="AZ13" s="406"/>
      <c r="BA13" s="3"/>
      <c r="BB13" s="3"/>
      <c r="BC13" s="3"/>
      <c r="BD13" s="573"/>
      <c r="BE13" s="573">
        <f t="shared" si="8"/>
        <v>0</v>
      </c>
      <c r="BF13" s="573">
        <f>BE13*'Wskaźniki emisji, założenia'!$C$72/3.6</f>
        <v>0</v>
      </c>
      <c r="BG13" s="558"/>
      <c r="BH13" s="558">
        <f t="shared" si="9"/>
        <v>0</v>
      </c>
    </row>
    <row r="14" spans="1:60" ht="25.5" hidden="1" customHeight="1">
      <c r="A14" s="597">
        <v>5</v>
      </c>
      <c r="B14" s="897"/>
      <c r="C14" s="897"/>
      <c r="D14" s="573">
        <f t="shared" si="10"/>
        <v>0</v>
      </c>
      <c r="E14" s="573">
        <f t="shared" si="11"/>
        <v>0</v>
      </c>
      <c r="F14" s="573">
        <f>BE14+AV14+BH14</f>
        <v>0</v>
      </c>
      <c r="G14" s="573">
        <f t="shared" si="0"/>
        <v>0</v>
      </c>
      <c r="H14" s="573">
        <f t="shared" si="1"/>
        <v>0</v>
      </c>
      <c r="I14" s="573">
        <f t="shared" si="1"/>
        <v>0</v>
      </c>
      <c r="J14" s="573">
        <f t="shared" si="2"/>
        <v>0</v>
      </c>
      <c r="K14" s="573">
        <f t="shared" si="3"/>
        <v>0</v>
      </c>
      <c r="L14" s="573">
        <f t="shared" si="3"/>
        <v>0</v>
      </c>
      <c r="M14" s="573">
        <f t="shared" si="3"/>
        <v>0</v>
      </c>
      <c r="N14" s="573">
        <f t="shared" si="3"/>
        <v>0</v>
      </c>
      <c r="O14" s="591"/>
      <c r="S14" s="573"/>
      <c r="T14" s="573">
        <f>$S14*'Wskaźniki emisji, założenia'!B4/1000000</f>
        <v>0</v>
      </c>
      <c r="U14" s="573">
        <f>$S14*'Wskaźniki emisji, założenia'!C4/1000000</f>
        <v>0</v>
      </c>
      <c r="V14" s="573">
        <f>$S14*'Wskaźniki emisji, założenia'!D4/1000000</f>
        <v>0</v>
      </c>
      <c r="W14" s="573">
        <f>$S14*'Wskaźniki emisji, założenia'!E4/1000000</f>
        <v>0</v>
      </c>
      <c r="X14" s="573">
        <f>$S14*'Wskaźniki emisji, założenia'!F4/1000000</f>
        <v>0</v>
      </c>
      <c r="Y14" s="573">
        <f>$S14*'Wskaźniki emisji, założenia'!G4/1000000</f>
        <v>0</v>
      </c>
      <c r="Z14" s="573">
        <f>$S14*'Wskaźniki emisji, założenia'!H4/1000000</f>
        <v>0</v>
      </c>
      <c r="AA14" s="573">
        <f t="shared" si="4"/>
        <v>0</v>
      </c>
      <c r="AB14" s="573">
        <f t="shared" ref="AB14:AH14" si="38">(1-$AQ14)*T14</f>
        <v>0</v>
      </c>
      <c r="AC14" s="573">
        <f t="shared" si="38"/>
        <v>0</v>
      </c>
      <c r="AD14" s="573">
        <f t="shared" si="38"/>
        <v>0</v>
      </c>
      <c r="AE14" s="573">
        <f t="shared" si="38"/>
        <v>0</v>
      </c>
      <c r="AF14" s="573">
        <f t="shared" si="38"/>
        <v>0</v>
      </c>
      <c r="AG14" s="573">
        <f t="shared" si="38"/>
        <v>0</v>
      </c>
      <c r="AH14" s="573">
        <f t="shared" si="38"/>
        <v>0</v>
      </c>
      <c r="AJ14" s="574"/>
      <c r="AK14" s="574"/>
      <c r="AL14" s="574"/>
      <c r="AM14" s="574"/>
      <c r="AN14" s="574"/>
      <c r="AO14" s="574"/>
      <c r="AP14" s="574"/>
      <c r="AQ14" s="574">
        <f t="shared" si="5"/>
        <v>0</v>
      </c>
      <c r="AR14" s="598">
        <f t="shared" si="6"/>
        <v>1</v>
      </c>
      <c r="AU14" s="406"/>
      <c r="AV14" s="573">
        <f t="shared" si="7"/>
        <v>0</v>
      </c>
      <c r="AW14" s="406"/>
      <c r="AX14" s="406"/>
      <c r="AY14" s="406"/>
      <c r="AZ14" s="406"/>
      <c r="BA14" s="3"/>
      <c r="BB14" s="3"/>
      <c r="BC14" s="3"/>
      <c r="BD14" s="573"/>
      <c r="BE14" s="573">
        <f t="shared" si="8"/>
        <v>0</v>
      </c>
      <c r="BF14" s="573">
        <f>BE14*'Wskaźniki emisji, założenia'!$C$72/3.6</f>
        <v>0</v>
      </c>
      <c r="BG14" s="558"/>
      <c r="BH14" s="558">
        <f t="shared" si="9"/>
        <v>0</v>
      </c>
    </row>
    <row r="15" spans="1:60" ht="40.5" customHeight="1">
      <c r="A15" s="597">
        <v>1</v>
      </c>
      <c r="B15" s="897" t="s">
        <v>713</v>
      </c>
      <c r="C15" s="897"/>
      <c r="D15" s="573">
        <f t="shared" ref="D15" si="39">S15-AA15</f>
        <v>350.37000000000012</v>
      </c>
      <c r="E15" s="573">
        <f t="shared" ref="E15" si="40">D15/3.6</f>
        <v>97.325000000000031</v>
      </c>
      <c r="F15" s="573">
        <f>BE15+AV15</f>
        <v>0</v>
      </c>
      <c r="G15" s="573">
        <f t="shared" ref="G15" si="41">F15/3.6*1000</f>
        <v>0</v>
      </c>
      <c r="H15" s="573">
        <f t="shared" ref="H15" si="42">T15-AB15</f>
        <v>0</v>
      </c>
      <c r="I15" s="573">
        <f t="shared" ref="I15" si="43">U15-AC15</f>
        <v>0</v>
      </c>
      <c r="J15" s="573">
        <f t="shared" ref="J15" si="44">V15-AD15+BF15</f>
        <v>32.843683800000008</v>
      </c>
      <c r="K15" s="573">
        <f t="shared" ref="K15" si="45">W15-AE15</f>
        <v>0</v>
      </c>
      <c r="L15" s="573">
        <f t="shared" ref="L15" si="46">X15-AF15</f>
        <v>0</v>
      </c>
      <c r="M15" s="573">
        <f t="shared" ref="M15" si="47">Y15-AG15</f>
        <v>0</v>
      </c>
      <c r="N15" s="573">
        <f t="shared" ref="N15" si="48">Z15-AH15</f>
        <v>0</v>
      </c>
      <c r="O15" s="626"/>
      <c r="S15" s="573">
        <f>47*15*3+24*9.2</f>
        <v>2335.8000000000002</v>
      </c>
      <c r="T15" s="573">
        <v>0</v>
      </c>
      <c r="U15" s="573">
        <v>0</v>
      </c>
      <c r="V15" s="573">
        <f>$S15*'Wskaźniki emisji, założenia'!$D$7/1000000</f>
        <v>218.95789200000004</v>
      </c>
      <c r="W15" s="573">
        <v>0</v>
      </c>
      <c r="X15" s="573">
        <v>0</v>
      </c>
      <c r="Y15" s="573">
        <v>0</v>
      </c>
      <c r="Z15" s="573">
        <v>0</v>
      </c>
      <c r="AA15" s="573">
        <f t="shared" ref="AA15" si="49">(1-$AQ15)*S15</f>
        <v>1985.43</v>
      </c>
      <c r="AB15" s="573">
        <f t="shared" ref="AB15" si="50">(1-$AQ15)*T15</f>
        <v>0</v>
      </c>
      <c r="AC15" s="573">
        <f t="shared" ref="AC15" si="51">(1-$AQ15)*U15</f>
        <v>0</v>
      </c>
      <c r="AD15" s="573">
        <f t="shared" ref="AD15" si="52">(1-$AQ15)*V15</f>
        <v>186.11420820000004</v>
      </c>
      <c r="AE15" s="573">
        <f t="shared" ref="AE15" si="53">(1-$AQ15)*W15</f>
        <v>0</v>
      </c>
      <c r="AF15" s="573">
        <f t="shared" ref="AF15" si="54">(1-$AQ15)*X15</f>
        <v>0</v>
      </c>
      <c r="AG15" s="573">
        <f t="shared" ref="AG15" si="55">(1-$AQ15)*Y15</f>
        <v>0</v>
      </c>
      <c r="AH15" s="573">
        <f t="shared" ref="AH15" si="56">(1-$AQ15)*Z15</f>
        <v>0</v>
      </c>
      <c r="AJ15" s="574"/>
      <c r="AK15" s="574"/>
      <c r="AL15" s="574"/>
      <c r="AM15" s="574">
        <v>0.15</v>
      </c>
      <c r="AN15" s="574"/>
      <c r="AO15" s="574"/>
      <c r="AP15" s="574"/>
      <c r="AQ15" s="574">
        <f t="shared" ref="AQ15" si="57">100%-(100%-AJ15)*(100%-AK15)*(100%-AL15)*(100%-AM15)*(100%-AN15)*(100%-AO15)*(100%-AP15)</f>
        <v>0.15000000000000002</v>
      </c>
      <c r="AR15" s="598">
        <f t="shared" ref="AR15" si="58">100%-AQ15</f>
        <v>0.85</v>
      </c>
      <c r="AU15" s="406"/>
      <c r="AV15" s="573">
        <f t="shared" ref="AV15" si="59">AU15*520*3.6/1000</f>
        <v>0</v>
      </c>
      <c r="AW15" s="406"/>
      <c r="AX15" s="406"/>
      <c r="AY15" s="406"/>
      <c r="AZ15" s="406"/>
      <c r="BA15" s="3"/>
      <c r="BB15" s="3"/>
      <c r="BC15" s="3"/>
      <c r="BD15" s="573"/>
      <c r="BE15" s="573">
        <f t="shared" ref="BE15" si="60">BD15*1*3.6</f>
        <v>0</v>
      </c>
      <c r="BF15" s="573">
        <f>BE15*'Wskaźniki emisji, założenia'!$C$72/3.6</f>
        <v>0</v>
      </c>
      <c r="BG15" s="558"/>
      <c r="BH15" s="558">
        <f t="shared" ref="BH15" si="61">BG15*1.25*3.6</f>
        <v>0</v>
      </c>
    </row>
    <row r="16" spans="1:60" s="554" customFormat="1" ht="21.75" customHeight="1">
      <c r="A16" s="862" t="s">
        <v>567</v>
      </c>
      <c r="B16" s="863"/>
      <c r="C16" s="924"/>
      <c r="D16" s="573">
        <f t="shared" ref="D16:N16" si="62">SUM(D6:D15)</f>
        <v>350.37000000000012</v>
      </c>
      <c r="E16" s="573">
        <f t="shared" si="62"/>
        <v>97.325000000000031</v>
      </c>
      <c r="F16" s="573">
        <f t="shared" si="62"/>
        <v>0</v>
      </c>
      <c r="G16" s="573">
        <f t="shared" si="62"/>
        <v>0</v>
      </c>
      <c r="H16" s="573">
        <f t="shared" si="62"/>
        <v>0</v>
      </c>
      <c r="I16" s="573">
        <f t="shared" si="62"/>
        <v>0</v>
      </c>
      <c r="J16" s="573">
        <f t="shared" si="62"/>
        <v>32.843683800000008</v>
      </c>
      <c r="K16" s="573">
        <f t="shared" si="62"/>
        <v>0</v>
      </c>
      <c r="L16" s="573">
        <f t="shared" si="62"/>
        <v>0</v>
      </c>
      <c r="M16" s="573">
        <f t="shared" si="62"/>
        <v>0</v>
      </c>
      <c r="N16" s="573">
        <f t="shared" si="62"/>
        <v>0</v>
      </c>
      <c r="O16" s="591"/>
      <c r="P16"/>
      <c r="Q16"/>
      <c r="R16"/>
      <c r="S16" s="592" t="s">
        <v>561</v>
      </c>
      <c r="T16" s="235" t="s">
        <v>505</v>
      </c>
      <c r="U16" s="235" t="s">
        <v>503</v>
      </c>
      <c r="V16" s="235" t="s">
        <v>501</v>
      </c>
      <c r="W16" s="235" t="s">
        <v>506</v>
      </c>
      <c r="X16" s="235" t="s">
        <v>502</v>
      </c>
      <c r="Y16" s="235" t="s">
        <v>548</v>
      </c>
      <c r="AJ16" s="576"/>
      <c r="AK16" s="577"/>
      <c r="AL16" s="577"/>
      <c r="AM16" s="577"/>
      <c r="AO16" s="577"/>
      <c r="AP16" s="577"/>
      <c r="AS16" s="548"/>
      <c r="AT16" s="548"/>
    </row>
    <row r="17" spans="1:60" ht="14.25" customHeight="1">
      <c r="A17" s="851" t="s">
        <v>580</v>
      </c>
      <c r="B17" s="852"/>
      <c r="C17" s="852"/>
      <c r="D17" s="852"/>
      <c r="E17" s="852"/>
      <c r="F17" s="852"/>
      <c r="G17" s="852"/>
      <c r="H17" s="852"/>
      <c r="I17" s="852"/>
      <c r="J17" s="852"/>
      <c r="K17" s="852"/>
      <c r="L17" s="852"/>
      <c r="M17" s="852"/>
      <c r="N17" s="853"/>
      <c r="O17" s="591"/>
      <c r="S17" s="593"/>
      <c r="T17" s="573"/>
      <c r="U17" s="573" t="s">
        <v>504</v>
      </c>
      <c r="V17" s="573">
        <v>0.6</v>
      </c>
      <c r="W17" s="573">
        <f>T17*S17</f>
        <v>0</v>
      </c>
      <c r="X17" s="573">
        <f>V17*W17</f>
        <v>0</v>
      </c>
      <c r="Y17" s="573">
        <f>X17*'Wskaźniki emisji, założenia'!C72</f>
        <v>0</v>
      </c>
      <c r="AJ17" s="578"/>
      <c r="AK17" s="579"/>
      <c r="AL17" s="579"/>
      <c r="AM17" s="579"/>
      <c r="AN17" s="572"/>
      <c r="AO17" s="579"/>
      <c r="AP17" s="579"/>
      <c r="AQ17" s="572"/>
      <c r="AR17" s="572"/>
    </row>
    <row r="18" spans="1:60" ht="15" hidden="1">
      <c r="A18" s="597">
        <v>1</v>
      </c>
      <c r="B18" s="897" t="s">
        <v>571</v>
      </c>
      <c r="C18" s="897"/>
      <c r="D18" s="573">
        <v>0</v>
      </c>
      <c r="E18" s="573">
        <v>0</v>
      </c>
      <c r="F18" s="573">
        <v>0</v>
      </c>
      <c r="G18" s="573">
        <v>0</v>
      </c>
      <c r="H18" s="573">
        <v>0</v>
      </c>
      <c r="I18" s="573">
        <v>0</v>
      </c>
      <c r="J18" s="573">
        <v>0</v>
      </c>
      <c r="K18" s="573">
        <v>0</v>
      </c>
      <c r="L18" s="573">
        <v>0</v>
      </c>
      <c r="M18" s="573">
        <v>0</v>
      </c>
      <c r="N18" s="573">
        <v>0</v>
      </c>
      <c r="O18" s="591"/>
      <c r="P18" s="559"/>
      <c r="Q18" s="588"/>
      <c r="AJ18" s="578"/>
      <c r="AK18" s="579"/>
      <c r="AL18" s="579"/>
      <c r="AM18" s="579"/>
      <c r="AN18" s="572"/>
      <c r="AO18" s="579"/>
      <c r="AP18" s="579"/>
      <c r="AQ18" s="572"/>
      <c r="AR18" s="572"/>
    </row>
    <row r="19" spans="1:60" ht="14.25" hidden="1" customHeight="1">
      <c r="A19" s="3"/>
      <c r="B19" s="925" t="s">
        <v>566</v>
      </c>
      <c r="C19" s="925"/>
      <c r="D19" s="558">
        <f t="shared" ref="D19:N19" si="63">D18</f>
        <v>0</v>
      </c>
      <c r="E19" s="558">
        <f t="shared" si="63"/>
        <v>0</v>
      </c>
      <c r="F19" s="558">
        <f t="shared" si="63"/>
        <v>0</v>
      </c>
      <c r="G19" s="558">
        <f t="shared" si="63"/>
        <v>0</v>
      </c>
      <c r="H19" s="558">
        <f t="shared" si="63"/>
        <v>0</v>
      </c>
      <c r="I19" s="558">
        <f t="shared" si="63"/>
        <v>0</v>
      </c>
      <c r="J19" s="558">
        <f t="shared" si="63"/>
        <v>0</v>
      </c>
      <c r="K19" s="558">
        <f t="shared" si="63"/>
        <v>0</v>
      </c>
      <c r="L19" s="558">
        <f t="shared" si="63"/>
        <v>0</v>
      </c>
      <c r="M19" s="558">
        <f t="shared" si="63"/>
        <v>0</v>
      </c>
      <c r="N19" s="558">
        <f t="shared" si="63"/>
        <v>0</v>
      </c>
      <c r="O19" s="591"/>
      <c r="P19" s="559"/>
      <c r="Q19" s="588"/>
      <c r="R19" s="588"/>
      <c r="S19" s="557"/>
      <c r="W19" s="589"/>
      <c r="AJ19" s="578"/>
      <c r="AK19" s="579"/>
      <c r="AL19" s="579"/>
      <c r="AM19" s="579"/>
      <c r="AN19" s="572"/>
      <c r="AO19" s="579"/>
      <c r="AP19" s="579"/>
      <c r="AQ19" s="572"/>
      <c r="AR19" s="572"/>
    </row>
    <row r="20" spans="1:60" ht="37.5" customHeight="1">
      <c r="A20" s="882" t="s">
        <v>494</v>
      </c>
      <c r="B20" s="883"/>
      <c r="C20" s="883"/>
      <c r="D20" s="883"/>
      <c r="E20" s="883"/>
      <c r="F20" s="883"/>
      <c r="G20" s="883"/>
      <c r="H20" s="883"/>
      <c r="I20" s="883"/>
      <c r="J20" s="883"/>
      <c r="K20" s="883"/>
      <c r="L20" s="883"/>
      <c r="M20" s="883"/>
      <c r="N20" s="884"/>
      <c r="O20" s="559"/>
      <c r="P20" s="559"/>
      <c r="Q20" s="888" t="s">
        <v>558</v>
      </c>
      <c r="R20" s="888" t="s">
        <v>559</v>
      </c>
      <c r="S20" s="889" t="s">
        <v>495</v>
      </c>
      <c r="T20" s="890" t="s">
        <v>477</v>
      </c>
      <c r="U20" s="890"/>
      <c r="V20" s="890"/>
      <c r="W20" s="890"/>
      <c r="X20" s="890"/>
      <c r="Y20" s="890"/>
      <c r="Z20" s="890"/>
      <c r="AA20" s="889" t="s">
        <v>496</v>
      </c>
      <c r="AB20" s="891" t="s">
        <v>479</v>
      </c>
      <c r="AC20" s="892"/>
      <c r="AD20" s="892"/>
      <c r="AE20" s="892"/>
      <c r="AF20" s="892"/>
      <c r="AG20" s="892"/>
      <c r="AH20" s="893"/>
      <c r="AJ20" s="572"/>
      <c r="AK20" s="572"/>
      <c r="AL20" s="572"/>
      <c r="AM20" s="572"/>
      <c r="AN20" s="572"/>
      <c r="AO20" s="572"/>
      <c r="AP20" s="572"/>
      <c r="AQ20" s="572"/>
      <c r="AR20" s="572"/>
    </row>
    <row r="21" spans="1:60" ht="12" customHeight="1">
      <c r="A21" s="885"/>
      <c r="B21" s="886"/>
      <c r="C21" s="886"/>
      <c r="D21" s="886"/>
      <c r="E21" s="886"/>
      <c r="F21" s="886"/>
      <c r="G21" s="886"/>
      <c r="H21" s="886"/>
      <c r="I21" s="886"/>
      <c r="J21" s="886"/>
      <c r="K21" s="886"/>
      <c r="L21" s="886"/>
      <c r="M21" s="886"/>
      <c r="N21" s="887"/>
      <c r="O21" s="559"/>
      <c r="P21" s="559"/>
      <c r="Q21" s="888"/>
      <c r="R21" s="888"/>
      <c r="S21" s="889"/>
      <c r="T21" s="581" t="s">
        <v>66</v>
      </c>
      <c r="U21" s="581" t="s">
        <v>67</v>
      </c>
      <c r="V21" s="552" t="s">
        <v>100</v>
      </c>
      <c r="W21" s="581" t="s">
        <v>69</v>
      </c>
      <c r="X21" s="581" t="s">
        <v>198</v>
      </c>
      <c r="Y21" s="581" t="s">
        <v>139</v>
      </c>
      <c r="Z21" s="581" t="s">
        <v>72</v>
      </c>
      <c r="AA21" s="889"/>
      <c r="AB21" s="581" t="s">
        <v>66</v>
      </c>
      <c r="AC21" s="581" t="s">
        <v>67</v>
      </c>
      <c r="AD21" s="552" t="s">
        <v>100</v>
      </c>
      <c r="AE21" s="581" t="s">
        <v>69</v>
      </c>
      <c r="AF21" s="581" t="s">
        <v>198</v>
      </c>
      <c r="AG21" s="581" t="s">
        <v>139</v>
      </c>
      <c r="AH21" s="581" t="s">
        <v>72</v>
      </c>
      <c r="AJ21" s="572"/>
      <c r="AK21" s="572"/>
      <c r="AL21" s="572"/>
      <c r="AM21" s="572"/>
      <c r="AN21" s="572"/>
      <c r="AO21" s="572"/>
      <c r="AP21" s="572"/>
      <c r="AQ21" s="572"/>
      <c r="AR21" s="572"/>
    </row>
    <row r="22" spans="1:60" ht="35.25" customHeight="1">
      <c r="A22" s="597">
        <v>1</v>
      </c>
      <c r="B22" s="897" t="s">
        <v>577</v>
      </c>
      <c r="C22" s="897"/>
      <c r="D22" s="573">
        <f t="shared" ref="D22:D27" si="64">S22-AA22</f>
        <v>601.31968882919182</v>
      </c>
      <c r="E22" s="573">
        <f t="shared" ref="E22:E27" si="65">D22/3.6</f>
        <v>167.03324689699772</v>
      </c>
      <c r="F22" s="573">
        <f>AA22</f>
        <v>1803.9590664875759</v>
      </c>
      <c r="G22" s="573">
        <f>F22/3.6*1000</f>
        <v>501099.74069099332</v>
      </c>
      <c r="H22" s="573">
        <f t="shared" ref="H22:N26" si="66">T22-AB22</f>
        <v>0.93926135395119781</v>
      </c>
      <c r="I22" s="573">
        <f t="shared" si="66"/>
        <v>0.92645324457913591</v>
      </c>
      <c r="J22" s="573">
        <f t="shared" si="66"/>
        <v>218.88036673382587</v>
      </c>
      <c r="K22" s="573">
        <f t="shared" si="66"/>
        <v>5.4419431839041875E-4</v>
      </c>
      <c r="L22" s="573">
        <f t="shared" si="66"/>
        <v>0.96211150212670715</v>
      </c>
      <c r="M22" s="573">
        <f t="shared" si="66"/>
        <v>8.4184756436086888E-2</v>
      </c>
      <c r="N22" s="573">
        <f t="shared" si="66"/>
        <v>10.61892086012268</v>
      </c>
      <c r="O22" s="559"/>
      <c r="P22" s="559"/>
      <c r="Q22" s="558">
        <f>'Osiągnięcie celów 2021-2024'!R19</f>
        <v>120.26393776583838</v>
      </c>
      <c r="R22" s="558">
        <f>5*4</f>
        <v>20</v>
      </c>
      <c r="S22" s="558">
        <f>Q22*R22</f>
        <v>2405.2787553167677</v>
      </c>
      <c r="T22" s="558">
        <f>$S$22*'Wskaźniki emisji, założenia'!B10/1000000</f>
        <v>0.97173261714797421</v>
      </c>
      <c r="U22" s="558">
        <f>$S$22*'Wskaźniki emisji, założenia'!C10/1000000</f>
        <v>0.95730094461607351</v>
      </c>
      <c r="V22" s="558">
        <f>$S$22*'Wskaźniki emisji, założenia'!D10/1000000</f>
        <v>218.88036673382587</v>
      </c>
      <c r="W22" s="558">
        <f>$S$22*'Wskaźniki emisji, założenia'!E10/1000000</f>
        <v>5.5321411372285666E-4</v>
      </c>
      <c r="X22" s="558">
        <f>$S$22*'Wskaźniki emisji, założenia'!F10/1000000</f>
        <v>0.96211150212670715</v>
      </c>
      <c r="Y22" s="558">
        <f>$S$22*'Wskaźniki emisji, założenia'!G10/1000000</f>
        <v>0.26458066308484446</v>
      </c>
      <c r="Z22" s="558">
        <f>$S$22*'Wskaźniki emisji, założenia'!H10/1000000</f>
        <v>11.064282274457133</v>
      </c>
      <c r="AA22" s="558">
        <f>(1-AQ22)*S22</f>
        <v>1803.9590664875759</v>
      </c>
      <c r="AB22" s="558">
        <f>$AA$22*'Wskaźniki emisji, założenia'!B30/1000000</f>
        <v>3.2471263196776366E-2</v>
      </c>
      <c r="AC22" s="558">
        <f>$AA$22*'Wskaźniki emisji, założenia'!C30/1000000</f>
        <v>3.0847700036937549E-2</v>
      </c>
      <c r="AD22" s="558">
        <f>$AA$22*'Wskaźniki emisji, założenia'!D30/1000000</f>
        <v>0</v>
      </c>
      <c r="AE22" s="558">
        <f>$AA$22*'Wskaźniki emisji, założenia'!E30/1000000</f>
        <v>9.0197953324378796E-6</v>
      </c>
      <c r="AF22" s="558">
        <f>$AA$22*'Wskaźniki emisji, założenia'!F30/1000000</f>
        <v>0</v>
      </c>
      <c r="AG22" s="558">
        <f>$AA$22*'Wskaźniki emisji, założenia'!G30/1000000</f>
        <v>0.18039590664875757</v>
      </c>
      <c r="AH22" s="558">
        <f>$AA$22*'Wskaźniki emisji, założenia'!H30/1000000</f>
        <v>0.4453614143344527</v>
      </c>
      <c r="AJ22" s="553">
        <v>0</v>
      </c>
      <c r="AK22" s="553">
        <v>0</v>
      </c>
      <c r="AL22" s="553">
        <v>0</v>
      </c>
      <c r="AM22" s="553">
        <v>0</v>
      </c>
      <c r="AN22" s="553">
        <v>0</v>
      </c>
      <c r="AO22" s="553">
        <v>0</v>
      </c>
      <c r="AP22" s="553">
        <v>0.4</v>
      </c>
      <c r="AQ22" s="553">
        <v>0.25</v>
      </c>
      <c r="AR22" s="560">
        <f t="shared" ref="AR22:AR26" si="67">100%-AQ22</f>
        <v>0.75</v>
      </c>
      <c r="AV22" s="580"/>
      <c r="AW22" s="580"/>
      <c r="AX22" s="580"/>
      <c r="AY22" s="580"/>
    </row>
    <row r="23" spans="1:60" ht="38.25" hidden="1" customHeight="1">
      <c r="A23" s="597">
        <v>2</v>
      </c>
      <c r="B23" s="897" t="s">
        <v>578</v>
      </c>
      <c r="C23" s="897"/>
      <c r="D23" s="573">
        <f t="shared" si="64"/>
        <v>0</v>
      </c>
      <c r="E23" s="573">
        <f t="shared" si="65"/>
        <v>0</v>
      </c>
      <c r="F23" s="573">
        <v>0</v>
      </c>
      <c r="G23" s="573">
        <v>0</v>
      </c>
      <c r="H23" s="573">
        <f t="shared" si="66"/>
        <v>0</v>
      </c>
      <c r="I23" s="573">
        <f t="shared" si="66"/>
        <v>0</v>
      </c>
      <c r="J23" s="573">
        <f t="shared" si="66"/>
        <v>0</v>
      </c>
      <c r="K23" s="573">
        <f t="shared" si="66"/>
        <v>0</v>
      </c>
      <c r="L23" s="573">
        <f t="shared" si="66"/>
        <v>0</v>
      </c>
      <c r="M23" s="573">
        <f t="shared" si="66"/>
        <v>0</v>
      </c>
      <c r="N23" s="573">
        <f t="shared" si="66"/>
        <v>0</v>
      </c>
      <c r="O23" s="559"/>
      <c r="P23" s="559"/>
      <c r="Q23" s="558">
        <f>'Osiągnięcie celów 2021-2024'!R20</f>
        <v>120.26393776583838</v>
      </c>
      <c r="R23" s="558"/>
      <c r="S23" s="558">
        <f>Q23*R23</f>
        <v>0</v>
      </c>
      <c r="T23" s="558">
        <f>$S$23*'Wskaźniki emisji, założenia'!$B$10/1000000</f>
        <v>0</v>
      </c>
      <c r="U23" s="558">
        <f>$S$23*'Wskaźniki emisji, założenia'!$C$10/1000000</f>
        <v>0</v>
      </c>
      <c r="V23" s="558">
        <f>$S$23*'Wskaźniki emisji, założenia'!$D$10/1000000</f>
        <v>0</v>
      </c>
      <c r="W23" s="558">
        <f>$S$23*'Wskaźniki emisji, założenia'!$E$10/1000000</f>
        <v>0</v>
      </c>
      <c r="X23" s="558">
        <f>$S$23*'Wskaźniki emisji, założenia'!$F$10/1000000</f>
        <v>0</v>
      </c>
      <c r="Y23" s="558">
        <f>$S$23*'Wskaźniki emisji, założenia'!$G$10/1000000</f>
        <v>0</v>
      </c>
      <c r="Z23" s="558">
        <f>$S$23*'Wskaźniki emisji, założenia'!$H$10/1000000</f>
        <v>0</v>
      </c>
      <c r="AA23" s="558">
        <f>(1-AQ23)*S23</f>
        <v>0</v>
      </c>
      <c r="AB23" s="558">
        <f>$AA$23*'Wskaźniki emisji, założenia'!$B$19/1000000</f>
        <v>0</v>
      </c>
      <c r="AC23" s="558">
        <f>$AA$23*'Wskaźniki emisji, założenia'!$C$19/1000000</f>
        <v>0</v>
      </c>
      <c r="AD23" s="558">
        <f>$AA$23*'Wskaźniki emisji, założenia'!$D$19/1000000</f>
        <v>0</v>
      </c>
      <c r="AE23" s="558">
        <f>$AA$23*'Wskaźniki emisji, założenia'!$E$19/1000000</f>
        <v>0</v>
      </c>
      <c r="AF23" s="558">
        <f>$AA$23*'Wskaźniki emisji, założenia'!F$19/1000000</f>
        <v>0</v>
      </c>
      <c r="AG23" s="558">
        <f>$AA$23*'Wskaźniki emisji, założenia'!$G$19/1000000</f>
        <v>0</v>
      </c>
      <c r="AH23" s="558">
        <f>$AA$23*'Wskaźniki emisji, założenia'!$H$19/1000000</f>
        <v>0</v>
      </c>
      <c r="AJ23" s="553">
        <v>0</v>
      </c>
      <c r="AK23" s="553">
        <v>0</v>
      </c>
      <c r="AL23" s="553">
        <v>0</v>
      </c>
      <c r="AM23" s="553">
        <v>0</v>
      </c>
      <c r="AN23" s="553">
        <v>0</v>
      </c>
      <c r="AO23" s="553">
        <v>0</v>
      </c>
      <c r="AP23" s="553">
        <v>0.25</v>
      </c>
      <c r="AQ23" s="553">
        <f>100%-(100%-AJ23)*(100%-AK23)*(100%-AL23)*(100%-AM23)*(100%-AN23)*(100%-AO23)*(100%-AP23)</f>
        <v>0.25</v>
      </c>
      <c r="AR23" s="560">
        <f t="shared" si="67"/>
        <v>0.75</v>
      </c>
      <c r="AV23" s="580"/>
      <c r="AW23" s="580"/>
      <c r="AX23" s="580"/>
      <c r="AY23" s="580"/>
    </row>
    <row r="24" spans="1:60" ht="60.75" hidden="1" customHeight="1">
      <c r="A24" s="597">
        <v>3</v>
      </c>
      <c r="B24" s="897" t="s">
        <v>575</v>
      </c>
      <c r="C24" s="897"/>
      <c r="D24" s="573">
        <f t="shared" si="64"/>
        <v>0</v>
      </c>
      <c r="E24" s="573">
        <f t="shared" si="65"/>
        <v>0</v>
      </c>
      <c r="F24" s="573">
        <f>AA24</f>
        <v>0</v>
      </c>
      <c r="G24" s="573">
        <f>F24/3.6*1000</f>
        <v>0</v>
      </c>
      <c r="H24" s="573">
        <f t="shared" si="66"/>
        <v>0</v>
      </c>
      <c r="I24" s="573">
        <f t="shared" si="66"/>
        <v>0</v>
      </c>
      <c r="J24" s="573">
        <f t="shared" si="66"/>
        <v>0</v>
      </c>
      <c r="K24" s="573">
        <f t="shared" si="66"/>
        <v>0</v>
      </c>
      <c r="L24" s="573">
        <f t="shared" si="66"/>
        <v>0</v>
      </c>
      <c r="M24" s="573">
        <f t="shared" si="66"/>
        <v>0</v>
      </c>
      <c r="N24" s="573">
        <f t="shared" si="66"/>
        <v>0</v>
      </c>
      <c r="O24" s="559"/>
      <c r="P24" s="559"/>
      <c r="Q24" s="558"/>
      <c r="R24" s="558">
        <f t="shared" ref="R24:R25" si="68">5*4</f>
        <v>20</v>
      </c>
      <c r="S24" s="558">
        <f>Q24*R24</f>
        <v>0</v>
      </c>
      <c r="T24" s="558">
        <f>$S$24*'Wskaźniki emisji, założenia'!$B$10/1000000</f>
        <v>0</v>
      </c>
      <c r="U24" s="558">
        <f>$S$24*'Wskaźniki emisji, założenia'!$C$10/1000000</f>
        <v>0</v>
      </c>
      <c r="V24" s="558">
        <f>$S$24*'Wskaźniki emisji, założenia'!$D$10/1000000</f>
        <v>0</v>
      </c>
      <c r="W24" s="558">
        <f>$S$24*'Wskaźniki emisji, założenia'!$E$10/1000000</f>
        <v>0</v>
      </c>
      <c r="X24" s="558">
        <f>$S$24*'Wskaźniki emisji, założenia'!$F$10/1000000</f>
        <v>0</v>
      </c>
      <c r="Y24" s="558">
        <f>$S$24*'Wskaźniki emisji, założenia'!$G$10/1000000</f>
        <v>0</v>
      </c>
      <c r="Z24" s="558">
        <f>$S$24*'Wskaźniki emisji, założenia'!$H$10/1000000</f>
        <v>0</v>
      </c>
      <c r="AA24" s="558">
        <f>(1-AQ24)*S24</f>
        <v>0</v>
      </c>
      <c r="AB24" s="558">
        <f>$AA$24*'Wskaźniki emisji, założenia'!B5/1000000</f>
        <v>0</v>
      </c>
      <c r="AC24" s="558">
        <f>$AA$24*'Wskaźniki emisji, założenia'!C5/1000000</f>
        <v>0</v>
      </c>
      <c r="AD24" s="558">
        <f>$AA$24*'Wskaźniki emisji, założenia'!D5/1000000</f>
        <v>0</v>
      </c>
      <c r="AE24" s="558">
        <f>$AA$24*'Wskaźniki emisji, założenia'!E5/1000000</f>
        <v>0</v>
      </c>
      <c r="AF24" s="558">
        <f>$AA$24*'Wskaźniki emisji, założenia'!F5/1000000</f>
        <v>0</v>
      </c>
      <c r="AG24" s="558">
        <f>$AA$24*'Wskaźniki emisji, założenia'!G5/1000000</f>
        <v>0</v>
      </c>
      <c r="AH24" s="558">
        <f>$AA$24*'Wskaźniki emisji, założenia'!H5/1000000</f>
        <v>0</v>
      </c>
      <c r="AJ24" s="553">
        <v>0</v>
      </c>
      <c r="AK24" s="553">
        <v>0</v>
      </c>
      <c r="AL24" s="553">
        <v>0</v>
      </c>
      <c r="AM24" s="553">
        <v>0</v>
      </c>
      <c r="AN24" s="553">
        <v>0</v>
      </c>
      <c r="AO24" s="553">
        <v>0</v>
      </c>
      <c r="AP24" s="553">
        <v>0.25</v>
      </c>
      <c r="AQ24" s="553">
        <f>100%-(100%-AJ24)*(100%-AK24)*(100%-AL24)*(100%-AM24)*(100%-AN24)*(100%-AO24)*(100%-AP24)</f>
        <v>0.25</v>
      </c>
      <c r="AR24" s="560">
        <f t="shared" si="67"/>
        <v>0.75</v>
      </c>
      <c r="AV24" s="580"/>
      <c r="AW24" s="580"/>
      <c r="AX24" s="580"/>
      <c r="AY24" s="580"/>
    </row>
    <row r="25" spans="1:60" ht="33" customHeight="1">
      <c r="A25" s="597">
        <v>2</v>
      </c>
      <c r="B25" s="897" t="s">
        <v>579</v>
      </c>
      <c r="C25" s="897"/>
      <c r="D25" s="573">
        <f t="shared" si="64"/>
        <v>721.58362659503041</v>
      </c>
      <c r="E25" s="573">
        <f t="shared" si="65"/>
        <v>200.43989627639732</v>
      </c>
      <c r="F25" s="573">
        <v>0</v>
      </c>
      <c r="G25" s="573">
        <f>F25/3.6*1000</f>
        <v>0</v>
      </c>
      <c r="H25" s="573">
        <f t="shared" si="66"/>
        <v>0.96971218299350814</v>
      </c>
      <c r="I25" s="573">
        <f t="shared" si="66"/>
        <v>0.95528051046160745</v>
      </c>
      <c r="J25" s="573">
        <f t="shared" si="66"/>
        <v>131.32822004029555</v>
      </c>
      <c r="K25" s="573">
        <f t="shared" si="66"/>
        <v>5.5321317085358453E-4</v>
      </c>
      <c r="L25" s="573">
        <f t="shared" si="66"/>
        <v>0.96160639358809064</v>
      </c>
      <c r="M25" s="573">
        <f t="shared" si="66"/>
        <v>0.17871221152003586</v>
      </c>
      <c r="N25" s="573">
        <f t="shared" si="66"/>
        <v>11.020506201110368</v>
      </c>
      <c r="O25" s="559"/>
      <c r="P25" s="559"/>
      <c r="Q25" s="558">
        <f>Q23</f>
        <v>120.26393776583838</v>
      </c>
      <c r="R25" s="558">
        <f t="shared" si="68"/>
        <v>20</v>
      </c>
      <c r="S25" s="558">
        <f>Q25*R25</f>
        <v>2405.2787553167677</v>
      </c>
      <c r="T25" s="558">
        <f>$S$25*'Wskaźniki emisji, założenia'!$B$10/1000000</f>
        <v>0.97173261714797421</v>
      </c>
      <c r="U25" s="558">
        <f>$S$25*'Wskaźniki emisji, założenia'!$C$10/1000000</f>
        <v>0.95730094461607351</v>
      </c>
      <c r="V25" s="558">
        <f>$S$25*'Wskaźniki emisji, założenia'!$D$10/1000000</f>
        <v>218.88036673382587</v>
      </c>
      <c r="W25" s="558">
        <f>$S$25*'Wskaźniki emisji, założenia'!$E$10/1000000</f>
        <v>5.5321411372285666E-4</v>
      </c>
      <c r="X25" s="558">
        <f>$S$25*'Wskaźniki emisji, założenia'!$F$10/1000000</f>
        <v>0.96211150212670715</v>
      </c>
      <c r="Y25" s="558">
        <f>$S$25*'Wskaźniki emisji, założenia'!$G$10/1000000</f>
        <v>0.26458066308484446</v>
      </c>
      <c r="Z25" s="558">
        <f>$S$25*'Wskaźniki emisji, założenia'!$H$10/1000000</f>
        <v>11.064282274457133</v>
      </c>
      <c r="AA25" s="558">
        <f>(1-AQ25)*S25</f>
        <v>1683.6951287217373</v>
      </c>
      <c r="AB25" s="558">
        <f>$AA$25*'Wskaźniki emisji, założenia'!$B$4/1000000</f>
        <v>2.0204341544660847E-3</v>
      </c>
      <c r="AC25" s="558">
        <f>$AA$25*'Wskaźniki emisji, założenia'!$C$4/1000000</f>
        <v>2.0204341544660847E-3</v>
      </c>
      <c r="AD25" s="558">
        <f>$AA$25*'Wskaźniki emisji, założenia'!$D$4/1000000</f>
        <v>87.552146693530332</v>
      </c>
      <c r="AE25" s="558">
        <f>$AA$25*'Wskaźniki emisji, założenia'!$E$4/1000000</f>
        <v>9.4286927208417288E-10</v>
      </c>
      <c r="AF25" s="558">
        <f>$AA$25*'Wskaźniki emisji, założenia'!$F$4/1000000</f>
        <v>5.0510853861652116E-4</v>
      </c>
      <c r="AG25" s="558">
        <f>$AA$25*'Wskaźniki emisji, założenia'!$G$4/1000000</f>
        <v>8.5868451564808615E-2</v>
      </c>
      <c r="AH25" s="558">
        <f>$AA$25*'Wskaźniki emisji, założenia'!$H$4/1000000</f>
        <v>4.3776073346765171E-2</v>
      </c>
      <c r="AJ25" s="553">
        <v>0</v>
      </c>
      <c r="AK25" s="553">
        <v>0</v>
      </c>
      <c r="AL25" s="553">
        <v>0</v>
      </c>
      <c r="AM25" s="553">
        <v>0</v>
      </c>
      <c r="AN25" s="553">
        <v>0</v>
      </c>
      <c r="AO25" s="553">
        <v>0</v>
      </c>
      <c r="AP25" s="553">
        <v>0.3</v>
      </c>
      <c r="AQ25" s="553">
        <f>100%-(100%-AJ25)*(100%-AK25)*(100%-AL25)*(100%-AM25)*(100%-AN25)*(100%-AO25)*(100%-AP25)</f>
        <v>0.30000000000000004</v>
      </c>
      <c r="AR25" s="560">
        <f t="shared" si="67"/>
        <v>0.7</v>
      </c>
      <c r="AV25" s="580"/>
      <c r="AW25" s="580"/>
      <c r="AX25" s="580"/>
      <c r="AY25" s="580"/>
    </row>
    <row r="26" spans="1:60" ht="27" hidden="1" customHeight="1">
      <c r="A26" s="597">
        <v>4</v>
      </c>
      <c r="B26" s="897" t="s">
        <v>576</v>
      </c>
      <c r="C26" s="897"/>
      <c r="D26" s="573">
        <f t="shared" si="64"/>
        <v>0</v>
      </c>
      <c r="E26" s="573">
        <f t="shared" si="65"/>
        <v>0</v>
      </c>
      <c r="F26" s="573">
        <f>S26</f>
        <v>0</v>
      </c>
      <c r="G26" s="573">
        <f>F26/3.6*1000</f>
        <v>0</v>
      </c>
      <c r="H26" s="573">
        <f t="shared" si="66"/>
        <v>0</v>
      </c>
      <c r="I26" s="573">
        <f t="shared" si="66"/>
        <v>0</v>
      </c>
      <c r="J26" s="573">
        <f t="shared" si="66"/>
        <v>0</v>
      </c>
      <c r="K26" s="573">
        <f t="shared" si="66"/>
        <v>0</v>
      </c>
      <c r="L26" s="573">
        <f t="shared" si="66"/>
        <v>0</v>
      </c>
      <c r="M26" s="573">
        <f t="shared" si="66"/>
        <v>0</v>
      </c>
      <c r="N26" s="573">
        <f t="shared" si="66"/>
        <v>0</v>
      </c>
      <c r="O26" s="559"/>
      <c r="P26" s="559"/>
      <c r="Q26" s="558"/>
      <c r="R26" s="558"/>
      <c r="S26" s="558">
        <f>R26*1.25*3.6</f>
        <v>0</v>
      </c>
      <c r="T26" s="558">
        <f>$S$26*'Wskaźniki emisji, założenia'!B10/1000000</f>
        <v>0</v>
      </c>
      <c r="U26" s="558">
        <f>$S$26*'Wskaźniki emisji, założenia'!C10/1000000</f>
        <v>0</v>
      </c>
      <c r="V26" s="558">
        <f>$S$26*'Wskaźniki emisji, założenia'!D10/1000000</f>
        <v>0</v>
      </c>
      <c r="W26" s="558">
        <f>$S$26*'Wskaźniki emisji, założenia'!E10/1000000</f>
        <v>0</v>
      </c>
      <c r="X26" s="558">
        <f>$S$26*'Wskaźniki emisji, założenia'!F10/1000000</f>
        <v>0</v>
      </c>
      <c r="Y26" s="558">
        <f>$S$26*'Wskaźniki emisji, założenia'!G10/1000000</f>
        <v>0</v>
      </c>
      <c r="Z26" s="558">
        <f>$S$26*'Wskaźniki emisji, założenia'!H10/1000000</f>
        <v>0</v>
      </c>
      <c r="AA26" s="558">
        <f>S26/4.3</f>
        <v>0</v>
      </c>
      <c r="AB26" s="558">
        <v>0</v>
      </c>
      <c r="AC26" s="558">
        <v>0</v>
      </c>
      <c r="AD26" s="558">
        <f>AA26/3.6*'Wskaźniki emisji, założenia'!C72</f>
        <v>0</v>
      </c>
      <c r="AE26" s="558">
        <v>0</v>
      </c>
      <c r="AF26" s="558">
        <v>0</v>
      </c>
      <c r="AG26" s="558">
        <v>0</v>
      </c>
      <c r="AH26" s="558">
        <v>0</v>
      </c>
      <c r="AJ26" s="553"/>
      <c r="AK26" s="553"/>
      <c r="AL26" s="553"/>
      <c r="AM26" s="553"/>
      <c r="AN26" s="553"/>
      <c r="AO26" s="553"/>
      <c r="AP26" s="553"/>
      <c r="AQ26" s="553">
        <v>1</v>
      </c>
      <c r="AR26" s="560">
        <f t="shared" si="67"/>
        <v>0</v>
      </c>
      <c r="AU26" s="406"/>
      <c r="AV26" s="573">
        <f>AU26*520*3.6/1000</f>
        <v>0</v>
      </c>
      <c r="AW26" s="406"/>
      <c r="AX26" s="406"/>
      <c r="AY26" s="406"/>
      <c r="AZ26" s="406"/>
      <c r="BA26" s="3"/>
      <c r="BB26" s="3"/>
      <c r="BC26" s="3"/>
      <c r="BD26" s="573"/>
      <c r="BE26" s="573">
        <f>BD26*1*3.6</f>
        <v>0</v>
      </c>
      <c r="BF26" s="573"/>
      <c r="BG26" s="558"/>
      <c r="BH26" s="558">
        <f>BG26*1.25*3.6</f>
        <v>0</v>
      </c>
    </row>
    <row r="27" spans="1:60" ht="21.75" hidden="1" customHeight="1">
      <c r="A27" s="597">
        <v>5</v>
      </c>
      <c r="B27" s="897" t="s">
        <v>581</v>
      </c>
      <c r="C27" s="897"/>
      <c r="D27" s="573">
        <f t="shared" si="64"/>
        <v>0</v>
      </c>
      <c r="E27" s="573">
        <f t="shared" si="65"/>
        <v>0</v>
      </c>
      <c r="F27" s="573">
        <f>BE27+BH27</f>
        <v>0</v>
      </c>
      <c r="G27" s="573">
        <f>F27/3.6*1000</f>
        <v>0</v>
      </c>
      <c r="H27" s="573">
        <f>T27-AB27</f>
        <v>0</v>
      </c>
      <c r="I27" s="573">
        <f>U27-AC27</f>
        <v>0</v>
      </c>
      <c r="J27" s="573">
        <f>V27-AD27+BF27</f>
        <v>0</v>
      </c>
      <c r="K27" s="573">
        <f>W27-AE27</f>
        <v>0</v>
      </c>
      <c r="L27" s="573">
        <f>X27-AF27</f>
        <v>0</v>
      </c>
      <c r="M27" s="573">
        <f>Y27-AG27</f>
        <v>0</v>
      </c>
      <c r="N27" s="573">
        <f>Z27-AH27</f>
        <v>0</v>
      </c>
      <c r="O27" s="559"/>
      <c r="P27" s="559"/>
      <c r="Q27" s="558"/>
      <c r="R27" s="558"/>
      <c r="S27" s="558">
        <f>R27*1*3.6</f>
        <v>0</v>
      </c>
      <c r="T27" s="558"/>
      <c r="U27" s="558"/>
      <c r="V27" s="558">
        <f>S27/3.6*'Wskaźniki emisji, założenia'!C72</f>
        <v>0</v>
      </c>
      <c r="W27" s="558"/>
      <c r="X27" s="558"/>
      <c r="Y27" s="558"/>
      <c r="Z27" s="558"/>
      <c r="AA27" s="558"/>
      <c r="AB27" s="558"/>
      <c r="AC27" s="558"/>
      <c r="AD27" s="558"/>
      <c r="AE27" s="558"/>
      <c r="AF27" s="558"/>
      <c r="AG27" s="558"/>
      <c r="AH27" s="558"/>
      <c r="AJ27" s="553"/>
      <c r="AK27" s="553"/>
      <c r="AL27" s="553"/>
      <c r="AM27" s="553"/>
      <c r="AN27" s="553"/>
      <c r="AO27" s="553"/>
      <c r="AP27" s="553"/>
      <c r="AQ27" s="553"/>
      <c r="AR27" s="560"/>
      <c r="AS27"/>
      <c r="AT27"/>
      <c r="AU27" s="406"/>
      <c r="AV27" s="573">
        <f>AU27*520*3.6/1000</f>
        <v>0</v>
      </c>
      <c r="AW27" s="406"/>
      <c r="AX27" s="406"/>
      <c r="AY27" s="406"/>
      <c r="AZ27" s="406"/>
      <c r="BA27" s="3"/>
      <c r="BB27" s="3"/>
      <c r="BC27" s="3"/>
      <c r="BD27" s="573"/>
      <c r="BE27" s="573">
        <f>BD27*1*3.6</f>
        <v>0</v>
      </c>
      <c r="BF27" s="573">
        <f>BE27*'Wskaźniki emisji, założenia'!$C$72/3.6</f>
        <v>0</v>
      </c>
      <c r="BG27" s="558"/>
      <c r="BH27" s="558">
        <f>BG27*1.25*3.6</f>
        <v>0</v>
      </c>
    </row>
    <row r="28" spans="1:60" ht="14.25" customHeight="1">
      <c r="A28" s="877" t="s">
        <v>568</v>
      </c>
      <c r="B28" s="878"/>
      <c r="C28" s="903"/>
      <c r="D28" s="573">
        <f>SUM(D22:D27)</f>
        <v>1322.9033154242222</v>
      </c>
      <c r="E28" s="573">
        <f t="shared" ref="E28:N28" si="69">SUM(E22:E27)</f>
        <v>367.47314317339504</v>
      </c>
      <c r="F28" s="573">
        <f t="shared" si="69"/>
        <v>1803.9590664875759</v>
      </c>
      <c r="G28" s="573">
        <f t="shared" si="69"/>
        <v>501099.74069099332</v>
      </c>
      <c r="H28" s="573">
        <f t="shared" si="69"/>
        <v>1.9089735369447061</v>
      </c>
      <c r="I28" s="573">
        <f t="shared" si="69"/>
        <v>1.8817337550407434</v>
      </c>
      <c r="J28" s="573">
        <f t="shared" si="69"/>
        <v>350.20858677412139</v>
      </c>
      <c r="K28" s="573">
        <f t="shared" si="69"/>
        <v>1.0974074892440033E-3</v>
      </c>
      <c r="L28" s="573">
        <f t="shared" si="69"/>
        <v>1.9237178957147978</v>
      </c>
      <c r="M28" s="573">
        <f t="shared" si="69"/>
        <v>0.26289696795612272</v>
      </c>
      <c r="N28" s="573">
        <f t="shared" si="69"/>
        <v>21.63942706123305</v>
      </c>
      <c r="O28" s="559"/>
      <c r="P28" s="559"/>
      <c r="AJ28"/>
      <c r="AK28"/>
      <c r="AL28"/>
      <c r="AM28"/>
      <c r="AN28"/>
      <c r="AO28"/>
      <c r="AP28"/>
      <c r="AQ28"/>
      <c r="AS28"/>
      <c r="AT28"/>
      <c r="AU28"/>
      <c r="AV28" s="580"/>
      <c r="AW28" s="580"/>
      <c r="AX28" s="580"/>
      <c r="AY28" s="580"/>
    </row>
    <row r="29" spans="1:60" ht="14.25" customHeight="1">
      <c r="A29" s="875" t="s">
        <v>497</v>
      </c>
      <c r="B29" s="876"/>
      <c r="C29" s="904"/>
      <c r="D29" s="583">
        <f>D28+D16+D19</f>
        <v>1673.2733154242223</v>
      </c>
      <c r="E29" s="583">
        <f t="shared" ref="E29:N29" si="70">E28+E16+E19</f>
        <v>464.79814317339509</v>
      </c>
      <c r="F29" s="583">
        <f t="shared" si="70"/>
        <v>1803.9590664875759</v>
      </c>
      <c r="G29" s="583">
        <f t="shared" si="70"/>
        <v>501099.74069099332</v>
      </c>
      <c r="H29" s="583">
        <f t="shared" si="70"/>
        <v>1.9089735369447061</v>
      </c>
      <c r="I29" s="583">
        <f t="shared" si="70"/>
        <v>1.8817337550407434</v>
      </c>
      <c r="J29" s="583">
        <f>J28+J16+J19</f>
        <v>383.05227057412139</v>
      </c>
      <c r="K29" s="583">
        <f t="shared" si="70"/>
        <v>1.0974074892440033E-3</v>
      </c>
      <c r="L29" s="583">
        <f t="shared" si="70"/>
        <v>1.9237178957147978</v>
      </c>
      <c r="M29" s="583">
        <f t="shared" si="70"/>
        <v>0.26289696795612272</v>
      </c>
      <c r="N29" s="583">
        <f t="shared" si="70"/>
        <v>21.63942706123305</v>
      </c>
      <c r="O29" s="559"/>
      <c r="P29" s="559"/>
      <c r="Y29" s="559"/>
      <c r="AF29" s="582"/>
      <c r="AJ29"/>
      <c r="AK29"/>
      <c r="AL29"/>
      <c r="AM29"/>
      <c r="AN29"/>
      <c r="AO29"/>
      <c r="AP29"/>
      <c r="AQ29"/>
      <c r="AS29"/>
      <c r="AT29"/>
      <c r="AU29"/>
      <c r="AV29"/>
      <c r="AW29"/>
      <c r="AX29"/>
      <c r="AY29"/>
      <c r="AZ29"/>
    </row>
    <row r="30" spans="1:60" ht="6" customHeight="1">
      <c r="A30" s="905"/>
      <c r="B30" s="906"/>
      <c r="C30" s="906"/>
      <c r="D30" s="906"/>
      <c r="E30" s="906"/>
      <c r="F30" s="906"/>
      <c r="G30" s="906"/>
      <c r="H30" s="906"/>
      <c r="I30" s="906"/>
      <c r="J30" s="906"/>
      <c r="K30" s="906"/>
      <c r="L30" s="906"/>
      <c r="M30" s="906"/>
      <c r="N30" s="907"/>
      <c r="O30" s="559"/>
      <c r="P30" s="559"/>
      <c r="Q30" s="559"/>
      <c r="R30" s="559"/>
      <c r="S30" s="559"/>
      <c r="T30" s="559"/>
      <c r="U30" s="559"/>
      <c r="V30" s="559"/>
      <c r="W30" s="559"/>
      <c r="X30" s="559"/>
      <c r="Y30" s="559"/>
      <c r="AF30" s="582"/>
    </row>
    <row r="31" spans="1:60" ht="15">
      <c r="A31" s="908" t="s">
        <v>498</v>
      </c>
      <c r="B31" s="909"/>
      <c r="C31" s="909"/>
      <c r="D31" s="909"/>
      <c r="E31" s="909"/>
      <c r="F31" s="909"/>
      <c r="G31" s="909"/>
      <c r="H31" s="909"/>
      <c r="I31" s="909"/>
      <c r="J31" s="909"/>
      <c r="K31" s="909"/>
      <c r="L31" s="909"/>
      <c r="M31" s="909"/>
      <c r="N31" s="910"/>
      <c r="O31" s="559"/>
      <c r="P31" s="559"/>
      <c r="Q31" s="559"/>
      <c r="R31" s="559"/>
      <c r="S31" s="559"/>
      <c r="T31" s="559"/>
      <c r="U31" s="559"/>
      <c r="V31" s="559"/>
      <c r="W31" s="559"/>
      <c r="X31" s="559"/>
      <c r="Y31" s="559"/>
      <c r="AF31" s="582"/>
    </row>
    <row r="32" spans="1:60" ht="14.25" customHeight="1">
      <c r="A32" s="911" t="s">
        <v>499</v>
      </c>
      <c r="B32" s="912"/>
      <c r="C32" s="913"/>
      <c r="D32" s="873" t="s">
        <v>475</v>
      </c>
      <c r="E32" s="873" t="s">
        <v>560</v>
      </c>
      <c r="F32" s="923" t="s">
        <v>550</v>
      </c>
      <c r="G32" s="923"/>
      <c r="H32" s="926" t="s">
        <v>500</v>
      </c>
      <c r="I32" s="927"/>
      <c r="J32" s="927"/>
      <c r="K32" s="927"/>
      <c r="L32" s="927"/>
      <c r="M32" s="927"/>
      <c r="N32" s="928"/>
      <c r="O32" s="559"/>
      <c r="P32" s="559"/>
      <c r="AF32" s="582"/>
    </row>
    <row r="33" spans="1:32" ht="42" customHeight="1">
      <c r="A33" s="914"/>
      <c r="B33" s="915"/>
      <c r="C33" s="916"/>
      <c r="D33" s="873"/>
      <c r="E33" s="873"/>
      <c r="F33" s="585" t="s">
        <v>551</v>
      </c>
      <c r="G33" s="585" t="s">
        <v>552</v>
      </c>
      <c r="H33" s="584" t="s">
        <v>66</v>
      </c>
      <c r="I33" s="584" t="s">
        <v>67</v>
      </c>
      <c r="J33" s="585" t="s">
        <v>100</v>
      </c>
      <c r="K33" s="584" t="s">
        <v>69</v>
      </c>
      <c r="L33" s="584" t="s">
        <v>198</v>
      </c>
      <c r="M33" s="584" t="s">
        <v>139</v>
      </c>
      <c r="N33" s="584" t="s">
        <v>72</v>
      </c>
      <c r="O33" s="559"/>
      <c r="P33" s="559"/>
    </row>
    <row r="34" spans="1:32" ht="38.25" customHeight="1">
      <c r="A34" s="917" t="s">
        <v>735</v>
      </c>
      <c r="B34" s="918"/>
      <c r="C34" s="919"/>
      <c r="D34" s="646">
        <v>703856.28</v>
      </c>
      <c r="E34" s="646">
        <f>D34/3.6</f>
        <v>195515.63333333333</v>
      </c>
      <c r="F34" s="646">
        <f>205048.38*3.6</f>
        <v>738174.16800000006</v>
      </c>
      <c r="G34" s="646">
        <f>F34/3.6*1000</f>
        <v>205048380</v>
      </c>
      <c r="H34" s="647">
        <v>153.57</v>
      </c>
      <c r="I34" s="647">
        <v>145.61000000000001</v>
      </c>
      <c r="J34" s="646">
        <v>49247.02</v>
      </c>
      <c r="K34" s="648">
        <f>89.07/1000</f>
        <v>8.9069999999999996E-2</v>
      </c>
      <c r="L34" s="647">
        <v>0</v>
      </c>
      <c r="M34" s="647">
        <v>0</v>
      </c>
      <c r="N34" s="647">
        <v>0</v>
      </c>
      <c r="O34" s="559"/>
      <c r="P34" s="559"/>
    </row>
    <row r="35" spans="1:32" ht="26.25" customHeight="1">
      <c r="A35" s="917" t="s">
        <v>569</v>
      </c>
      <c r="B35" s="918"/>
      <c r="C35" s="919"/>
      <c r="D35" s="646">
        <f>'Osiągnięcie celów 2021-2024'!E32</f>
        <v>5167.2205178744425</v>
      </c>
      <c r="E35" s="646">
        <f>'Osiągnięcie celów 2021-2024'!F32</f>
        <v>1435.3390327429006</v>
      </c>
      <c r="F35" s="646">
        <f>'Osiągnięcie celów 2021-2024'!G32</f>
        <v>0</v>
      </c>
      <c r="G35" s="646">
        <f>'Osiągnięcie celów 2021-2024'!H32</f>
        <v>0</v>
      </c>
      <c r="H35" s="646">
        <f>'Osiągnięcie celów 2021-2024'!I32</f>
        <v>0</v>
      </c>
      <c r="I35" s="646">
        <f>'Osiągnięcie celów 2021-2024'!J32</f>
        <v>0</v>
      </c>
      <c r="J35" s="646">
        <f>'Osiągnięcie celów 2021-2024'!K32</f>
        <v>601.94876836427375</v>
      </c>
      <c r="K35" s="649">
        <f>'Osiągnięcie celów 2021-2024'!L32</f>
        <v>0</v>
      </c>
      <c r="L35" s="647">
        <v>0</v>
      </c>
      <c r="M35" s="647">
        <v>0</v>
      </c>
      <c r="N35" s="647">
        <v>0</v>
      </c>
      <c r="O35" s="559"/>
      <c r="P35" s="559"/>
    </row>
    <row r="36" spans="1:32" ht="27.75" customHeight="1">
      <c r="A36" s="920" t="s">
        <v>570</v>
      </c>
      <c r="B36" s="921"/>
      <c r="C36" s="922"/>
      <c r="D36" s="646">
        <f>D34-D35</f>
        <v>698689.05948212557</v>
      </c>
      <c r="E36" s="646">
        <f t="shared" ref="E36:K36" si="71">E34-E35</f>
        <v>194080.29430059044</v>
      </c>
      <c r="F36" s="646">
        <f t="shared" si="71"/>
        <v>738174.16800000006</v>
      </c>
      <c r="G36" s="646">
        <f t="shared" si="71"/>
        <v>205048380</v>
      </c>
      <c r="H36" s="646">
        <f t="shared" si="71"/>
        <v>153.57</v>
      </c>
      <c r="I36" s="646">
        <f t="shared" si="71"/>
        <v>145.61000000000001</v>
      </c>
      <c r="J36" s="646">
        <f t="shared" si="71"/>
        <v>48645.071231635724</v>
      </c>
      <c r="K36" s="649">
        <f t="shared" si="71"/>
        <v>8.9069999999999996E-2</v>
      </c>
      <c r="L36" s="647">
        <v>0</v>
      </c>
      <c r="M36" s="647">
        <v>0</v>
      </c>
      <c r="N36" s="647">
        <v>0</v>
      </c>
      <c r="O36" s="559"/>
      <c r="P36" s="559"/>
    </row>
    <row r="37" spans="1:32" ht="34.5" customHeight="1">
      <c r="A37" s="917" t="s">
        <v>553</v>
      </c>
      <c r="B37" s="918"/>
      <c r="C37" s="919"/>
      <c r="D37" s="900">
        <f>E35/E34</f>
        <v>7.3413005818097439E-3</v>
      </c>
      <c r="E37" s="900"/>
      <c r="F37" s="901">
        <f>F36/D36-F34/D34</f>
        <v>7.7561804861121519E-3</v>
      </c>
      <c r="G37" s="902"/>
      <c r="H37" s="650">
        <f t="shared" ref="H37:I37" si="72">H35/H34</f>
        <v>0</v>
      </c>
      <c r="I37" s="650">
        <f t="shared" si="72"/>
        <v>0</v>
      </c>
      <c r="J37" s="650">
        <f>J35/J34</f>
        <v>1.2223049605118722E-2</v>
      </c>
      <c r="K37" s="647">
        <v>0</v>
      </c>
      <c r="L37" s="647">
        <v>0</v>
      </c>
      <c r="M37" s="647">
        <v>0</v>
      </c>
      <c r="N37" s="647">
        <v>0</v>
      </c>
      <c r="O37" s="559"/>
      <c r="P37" s="559"/>
      <c r="AF37" s="582"/>
    </row>
    <row r="38" spans="1:32" ht="37.5" customHeight="1">
      <c r="A38" s="917" t="s">
        <v>720</v>
      </c>
      <c r="B38" s="918"/>
      <c r="C38" s="919"/>
      <c r="D38" s="646">
        <f>D29+'Osiągnięcie celów 2021-2024'!E38</f>
        <v>21788.04635203693</v>
      </c>
      <c r="E38" s="646">
        <f>E29+'Osiągnięcie celów 2021-2024'!F38</f>
        <v>6052.235097788036</v>
      </c>
      <c r="F38" s="646">
        <f>F29+'Osiągnięcie celów 2021-2024'!G38</f>
        <v>4760.9078995970449</v>
      </c>
      <c r="G38" s="646">
        <f>G29+'Osiągnięcie celów 2021-2024'!H38</f>
        <v>1322474.4165547348</v>
      </c>
      <c r="H38" s="646">
        <f>H29+'Osiągnięcie celów 2021-2024'!I38</f>
        <v>5.6133309086684395</v>
      </c>
      <c r="I38" s="646">
        <f>I29+'Osiągnięcie celów 2021-2024'!J38</f>
        <v>5.5320455150150512</v>
      </c>
      <c r="J38" s="646">
        <f>J29+'Osiągnięcie celów 2021-2024'!K38</f>
        <v>2563.6976791716752</v>
      </c>
      <c r="K38" s="651">
        <f>K29+'Osiągnięcie celów 2021-2024'!L38</f>
        <v>3.2135783373639947E-3</v>
      </c>
      <c r="L38" s="646">
        <f>L29+'Osiągnięcie celów 2021-2024'!M38</f>
        <v>1.9237178957147978</v>
      </c>
      <c r="M38" s="646">
        <f>M29+'Osiągnięcie celów 2021-2024'!N38</f>
        <v>0.26289696795612272</v>
      </c>
      <c r="N38" s="646">
        <f>N29+'Osiągnięcie celów 2021-2024'!O38</f>
        <v>21.63942706123305</v>
      </c>
      <c r="O38" s="559"/>
      <c r="P38" s="559"/>
      <c r="AF38" s="582"/>
    </row>
    <row r="39" spans="1:32" ht="48" customHeight="1">
      <c r="A39" s="917" t="s">
        <v>721</v>
      </c>
      <c r="B39" s="918"/>
      <c r="C39" s="919"/>
      <c r="D39" s="646">
        <f>D34-D38</f>
        <v>682068.23364796315</v>
      </c>
      <c r="E39" s="646">
        <f>E34-E38</f>
        <v>189463.39823554529</v>
      </c>
      <c r="F39" s="646">
        <f>F34+F38</f>
        <v>742935.07589959714</v>
      </c>
      <c r="G39" s="646">
        <f>G34+G38</f>
        <v>206370854.41655475</v>
      </c>
      <c r="H39" s="646">
        <f t="shared" ref="H39:I39" si="73">H34-H38</f>
        <v>147.95666909133155</v>
      </c>
      <c r="I39" s="646">
        <f t="shared" si="73"/>
        <v>140.07795448498496</v>
      </c>
      <c r="J39" s="646">
        <f>J34-J38</f>
        <v>46683.322320828323</v>
      </c>
      <c r="K39" s="651">
        <f>K34-K38</f>
        <v>8.5856421662636004E-2</v>
      </c>
      <c r="L39" s="652">
        <v>0</v>
      </c>
      <c r="M39" s="652">
        <v>0</v>
      </c>
      <c r="N39" s="652">
        <v>0</v>
      </c>
      <c r="O39" s="559"/>
      <c r="P39" s="559"/>
      <c r="AF39" s="582"/>
    </row>
    <row r="40" spans="1:32" ht="38.25" customHeight="1">
      <c r="A40" s="917" t="s">
        <v>565</v>
      </c>
      <c r="B40" s="918"/>
      <c r="C40" s="919"/>
      <c r="D40" s="900">
        <f>D38/D34</f>
        <v>3.0955248921039576E-2</v>
      </c>
      <c r="E40" s="900"/>
      <c r="F40" s="901">
        <f>F39/D39-F34/D34</f>
        <v>4.0481687395764743E-2</v>
      </c>
      <c r="G40" s="902"/>
      <c r="H40" s="650">
        <f t="shared" ref="H40:I40" si="74">H38/H34</f>
        <v>3.6552262217024414E-2</v>
      </c>
      <c r="I40" s="650">
        <f t="shared" si="74"/>
        <v>3.799220874263478E-2</v>
      </c>
      <c r="J40" s="650">
        <f>J38/J34</f>
        <v>5.2057925112457062E-2</v>
      </c>
      <c r="K40" s="650">
        <f>K38/K34</f>
        <v>3.6079244833995675E-2</v>
      </c>
      <c r="L40" s="652">
        <v>0</v>
      </c>
      <c r="M40" s="652">
        <v>0</v>
      </c>
      <c r="N40" s="652">
        <v>0</v>
      </c>
      <c r="O40" s="559"/>
      <c r="P40" s="559"/>
      <c r="AF40" s="582"/>
    </row>
    <row r="41" spans="1:32">
      <c r="A41" s="342"/>
      <c r="B41" s="342"/>
      <c r="C41" s="653"/>
      <c r="D41" s="654"/>
      <c r="E41" s="654"/>
      <c r="F41" s="342"/>
      <c r="G41" s="342"/>
      <c r="H41" s="342"/>
      <c r="I41" s="342"/>
      <c r="J41" s="342"/>
      <c r="K41" s="342"/>
      <c r="L41" s="342"/>
      <c r="M41" s="342"/>
      <c r="N41" s="342"/>
    </row>
    <row r="42" spans="1:32">
      <c r="A42" s="342"/>
      <c r="B42" s="342"/>
      <c r="C42" s="653"/>
      <c r="D42" s="654"/>
      <c r="E42" s="654"/>
      <c r="F42" s="342"/>
      <c r="G42" s="342"/>
      <c r="H42" s="342"/>
      <c r="I42" s="342"/>
      <c r="J42" s="342"/>
      <c r="K42" s="342"/>
      <c r="L42" s="342"/>
      <c r="M42" s="342"/>
      <c r="N42" s="342"/>
    </row>
    <row r="43" spans="1:32">
      <c r="A43" s="342"/>
      <c r="B43" s="342"/>
      <c r="C43" s="653"/>
      <c r="D43" s="654"/>
      <c r="E43" s="654"/>
      <c r="F43" s="342"/>
      <c r="G43" s="342"/>
      <c r="H43" s="342"/>
      <c r="I43" s="342"/>
      <c r="J43" s="342"/>
      <c r="K43" s="342"/>
      <c r="L43" s="342"/>
      <c r="M43" s="342"/>
      <c r="N43" s="342"/>
    </row>
    <row r="44" spans="1:32">
      <c r="A44" s="342"/>
      <c r="B44" s="342"/>
      <c r="C44" s="653"/>
      <c r="D44" s="654"/>
      <c r="E44" s="654"/>
      <c r="F44" s="342"/>
      <c r="G44" s="342"/>
      <c r="H44" s="342"/>
      <c r="I44" s="342"/>
      <c r="J44" s="342"/>
      <c r="K44" s="342"/>
      <c r="L44" s="342"/>
      <c r="M44" s="342"/>
      <c r="N44" s="342"/>
    </row>
    <row r="45" spans="1:32">
      <c r="A45" s="342"/>
      <c r="B45" s="342"/>
      <c r="C45" s="653"/>
      <c r="D45" s="654"/>
      <c r="E45" s="654"/>
      <c r="F45" s="342"/>
      <c r="G45" s="342"/>
      <c r="H45" s="342"/>
      <c r="I45" s="342"/>
      <c r="J45" s="342"/>
      <c r="K45" s="342"/>
      <c r="L45" s="342"/>
      <c r="M45" s="342"/>
      <c r="N45" s="342"/>
    </row>
    <row r="46" spans="1:32">
      <c r="A46" s="342"/>
      <c r="B46" s="342"/>
      <c r="C46" s="653"/>
      <c r="D46" s="654"/>
      <c r="E46" s="654"/>
      <c r="F46" s="342"/>
      <c r="G46" s="342"/>
      <c r="H46" s="342"/>
      <c r="I46" s="342"/>
      <c r="J46" s="342"/>
      <c r="K46" s="342"/>
      <c r="L46" s="342"/>
      <c r="M46" s="342"/>
      <c r="N46" s="342"/>
    </row>
    <row r="47" spans="1:32">
      <c r="A47" s="342"/>
      <c r="B47" s="342"/>
      <c r="C47" s="653"/>
      <c r="D47" s="654"/>
      <c r="E47" s="654"/>
      <c r="F47" s="342"/>
      <c r="G47" s="342"/>
      <c r="H47" s="342"/>
      <c r="I47" s="342"/>
      <c r="J47" s="342"/>
      <c r="K47" s="342"/>
      <c r="L47" s="342"/>
      <c r="M47" s="342"/>
      <c r="N47" s="342"/>
    </row>
    <row r="48" spans="1:32">
      <c r="A48" s="342"/>
      <c r="B48" s="342"/>
      <c r="C48" s="653"/>
      <c r="D48" s="654"/>
      <c r="E48" s="654"/>
      <c r="F48" s="342"/>
      <c r="G48" s="342"/>
      <c r="H48" s="342"/>
      <c r="I48" s="342"/>
      <c r="J48" s="342"/>
      <c r="K48" s="342"/>
      <c r="L48" s="342"/>
      <c r="M48" s="342"/>
      <c r="N48" s="342"/>
    </row>
    <row r="49" spans="1:14">
      <c r="A49" s="342"/>
      <c r="B49" s="342"/>
      <c r="C49" s="653"/>
      <c r="D49" s="654"/>
      <c r="E49" s="654"/>
      <c r="F49" s="342"/>
      <c r="G49" s="342"/>
      <c r="H49" s="342"/>
      <c r="I49" s="342"/>
      <c r="J49" s="342"/>
      <c r="K49" s="342"/>
      <c r="L49" s="342"/>
      <c r="M49" s="342"/>
      <c r="N49" s="342"/>
    </row>
    <row r="50" spans="1:14">
      <c r="A50" s="342"/>
      <c r="B50" s="342"/>
      <c r="C50" s="653"/>
      <c r="D50" s="654"/>
      <c r="E50" s="654"/>
      <c r="F50" s="342"/>
      <c r="G50" s="342"/>
      <c r="H50" s="342"/>
      <c r="I50" s="342"/>
      <c r="J50" s="342"/>
      <c r="K50" s="342"/>
      <c r="L50" s="342"/>
      <c r="M50" s="342"/>
      <c r="N50" s="342"/>
    </row>
    <row r="51" spans="1:14">
      <c r="A51" s="342"/>
      <c r="B51" s="342"/>
      <c r="C51" s="653"/>
      <c r="D51" s="654"/>
      <c r="E51" s="654"/>
      <c r="F51" s="342"/>
      <c r="G51" s="342"/>
      <c r="H51" s="342"/>
      <c r="I51" s="342"/>
      <c r="J51" s="342"/>
      <c r="K51" s="342"/>
      <c r="L51" s="342"/>
      <c r="M51" s="342"/>
      <c r="N51" s="342"/>
    </row>
    <row r="52" spans="1:14">
      <c r="A52" s="342"/>
      <c r="B52" s="342"/>
      <c r="C52" s="653"/>
      <c r="D52" s="654"/>
      <c r="E52" s="654"/>
      <c r="F52" s="342"/>
      <c r="G52" s="342"/>
      <c r="H52" s="342"/>
      <c r="I52" s="342"/>
      <c r="J52" s="342"/>
      <c r="K52" s="342"/>
      <c r="L52" s="342"/>
      <c r="M52" s="342"/>
      <c r="N52" s="342"/>
    </row>
    <row r="53" spans="1:14">
      <c r="A53" s="342"/>
      <c r="B53" s="342"/>
      <c r="C53" s="653"/>
      <c r="D53" s="654"/>
      <c r="E53" s="654"/>
      <c r="F53" s="342"/>
      <c r="G53" s="342"/>
      <c r="H53" s="342"/>
      <c r="I53" s="342"/>
      <c r="J53" s="342"/>
      <c r="K53" s="342"/>
      <c r="L53" s="342"/>
      <c r="M53" s="342"/>
      <c r="N53" s="342"/>
    </row>
    <row r="54" spans="1:14">
      <c r="A54" s="342"/>
      <c r="B54" s="342"/>
      <c r="C54" s="653"/>
      <c r="D54" s="654"/>
      <c r="E54" s="654"/>
      <c r="F54" s="342"/>
      <c r="G54" s="342"/>
      <c r="H54" s="342"/>
      <c r="I54" s="342"/>
      <c r="J54" s="342"/>
      <c r="K54" s="342"/>
      <c r="L54" s="342"/>
      <c r="M54" s="342"/>
      <c r="N54" s="342"/>
    </row>
    <row r="55" spans="1:14">
      <c r="A55" s="342"/>
      <c r="B55" s="342"/>
      <c r="C55" s="653"/>
      <c r="D55" s="654"/>
      <c r="E55" s="654"/>
      <c r="F55" s="342"/>
      <c r="G55" s="342"/>
      <c r="H55" s="342"/>
      <c r="I55" s="342"/>
      <c r="J55" s="342"/>
      <c r="K55" s="342"/>
      <c r="L55" s="342"/>
      <c r="M55" s="342"/>
      <c r="N55" s="342"/>
    </row>
    <row r="56" spans="1:14">
      <c r="A56" s="342"/>
      <c r="B56" s="342"/>
      <c r="C56" s="653"/>
      <c r="D56" s="654"/>
      <c r="E56" s="654"/>
      <c r="F56" s="342"/>
      <c r="G56" s="342"/>
      <c r="H56" s="342"/>
      <c r="I56" s="342"/>
      <c r="J56" s="342"/>
      <c r="K56" s="342"/>
      <c r="L56" s="342"/>
      <c r="M56" s="342"/>
      <c r="N56" s="342"/>
    </row>
    <row r="57" spans="1:14">
      <c r="A57" s="342"/>
      <c r="B57" s="342"/>
      <c r="C57" s="653"/>
      <c r="D57" s="654"/>
      <c r="E57" s="654"/>
      <c r="F57" s="342"/>
      <c r="G57" s="342"/>
      <c r="H57" s="342"/>
      <c r="I57" s="342"/>
      <c r="J57" s="342"/>
      <c r="K57" s="342"/>
      <c r="L57" s="342"/>
      <c r="M57" s="342"/>
      <c r="N57" s="342"/>
    </row>
    <row r="58" spans="1:14">
      <c r="A58" s="342"/>
      <c r="B58" s="342"/>
      <c r="C58" s="653"/>
      <c r="D58" s="654"/>
      <c r="E58" s="654"/>
      <c r="F58" s="342"/>
      <c r="G58" s="342"/>
      <c r="H58" s="342"/>
      <c r="I58" s="342"/>
      <c r="J58" s="342"/>
      <c r="K58" s="342"/>
      <c r="L58" s="342"/>
      <c r="M58" s="342"/>
      <c r="N58" s="342"/>
    </row>
    <row r="59" spans="1:14">
      <c r="A59" s="342"/>
      <c r="B59" s="342"/>
      <c r="C59" s="653"/>
      <c r="D59" s="654"/>
      <c r="E59" s="654"/>
      <c r="F59" s="342"/>
      <c r="G59" s="342"/>
      <c r="H59" s="342"/>
      <c r="I59" s="342"/>
      <c r="J59" s="342"/>
      <c r="K59" s="342"/>
      <c r="L59" s="342"/>
      <c r="M59" s="342"/>
      <c r="N59" s="342"/>
    </row>
    <row r="60" spans="1:14">
      <c r="A60" s="342"/>
      <c r="B60" s="342"/>
      <c r="C60" s="653"/>
      <c r="D60" s="654"/>
      <c r="E60" s="654"/>
      <c r="F60" s="342"/>
      <c r="G60" s="342"/>
      <c r="H60" s="342"/>
      <c r="I60" s="342"/>
      <c r="J60" s="342"/>
      <c r="K60" s="342"/>
      <c r="L60" s="342"/>
      <c r="M60" s="342"/>
      <c r="N60" s="342"/>
    </row>
    <row r="61" spans="1:14">
      <c r="A61" s="342"/>
      <c r="B61" s="342"/>
      <c r="C61" s="653"/>
      <c r="D61" s="654"/>
      <c r="E61" s="654"/>
      <c r="F61" s="342"/>
      <c r="G61" s="342"/>
      <c r="H61" s="342"/>
      <c r="I61" s="342"/>
      <c r="J61" s="342"/>
      <c r="K61" s="342"/>
      <c r="L61" s="342"/>
      <c r="M61" s="342"/>
      <c r="N61" s="342"/>
    </row>
    <row r="62" spans="1:14">
      <c r="A62" s="342"/>
      <c r="B62" s="342"/>
      <c r="C62" s="653"/>
      <c r="D62" s="654"/>
      <c r="E62" s="654"/>
      <c r="F62" s="342"/>
      <c r="G62" s="342"/>
      <c r="H62" s="342"/>
      <c r="I62" s="342"/>
      <c r="J62" s="342"/>
      <c r="K62" s="342"/>
      <c r="L62" s="342"/>
      <c r="M62" s="342"/>
      <c r="N62" s="342"/>
    </row>
    <row r="63" spans="1:14">
      <c r="A63" s="342"/>
      <c r="B63" s="342"/>
      <c r="C63" s="653"/>
      <c r="D63" s="654"/>
      <c r="E63" s="654"/>
      <c r="F63" s="342"/>
      <c r="G63" s="342"/>
      <c r="H63" s="342"/>
      <c r="I63" s="342"/>
      <c r="J63" s="342"/>
      <c r="K63" s="342"/>
      <c r="L63" s="342"/>
      <c r="M63" s="342"/>
      <c r="N63" s="342"/>
    </row>
    <row r="64" spans="1:14">
      <c r="A64" s="342"/>
      <c r="B64" s="342"/>
      <c r="C64" s="653"/>
      <c r="D64" s="654"/>
      <c r="E64" s="654"/>
      <c r="F64" s="342"/>
      <c r="G64" s="342"/>
      <c r="H64" s="342"/>
      <c r="I64" s="342"/>
      <c r="J64" s="342"/>
      <c r="K64" s="342"/>
      <c r="L64" s="342"/>
      <c r="M64" s="342"/>
      <c r="N64" s="342"/>
    </row>
    <row r="65" spans="1:14">
      <c r="A65" s="342"/>
      <c r="B65" s="342"/>
      <c r="C65" s="653"/>
      <c r="D65" s="654"/>
      <c r="E65" s="654"/>
      <c r="F65" s="342"/>
      <c r="G65" s="342"/>
      <c r="H65" s="342"/>
      <c r="I65" s="342"/>
      <c r="J65" s="342"/>
      <c r="K65" s="342"/>
      <c r="L65" s="342"/>
      <c r="M65" s="342"/>
      <c r="N65" s="342"/>
    </row>
    <row r="66" spans="1:14">
      <c r="A66" s="342"/>
      <c r="B66" s="342"/>
      <c r="C66" s="653"/>
      <c r="D66" s="654"/>
      <c r="E66" s="654"/>
      <c r="F66" s="342"/>
      <c r="G66" s="342"/>
      <c r="H66" s="342"/>
      <c r="I66" s="342"/>
      <c r="J66" s="342"/>
      <c r="K66" s="342"/>
      <c r="L66" s="342"/>
      <c r="M66" s="342"/>
      <c r="N66" s="342"/>
    </row>
    <row r="67" spans="1:14">
      <c r="A67" s="342"/>
      <c r="B67" s="342"/>
      <c r="C67" s="653"/>
      <c r="D67" s="654"/>
      <c r="E67" s="654"/>
      <c r="F67" s="342"/>
      <c r="G67" s="342"/>
      <c r="H67" s="342"/>
      <c r="I67" s="342"/>
      <c r="J67" s="342"/>
      <c r="K67" s="342"/>
      <c r="L67" s="342"/>
      <c r="M67" s="342"/>
      <c r="N67" s="342"/>
    </row>
    <row r="68" spans="1:14">
      <c r="A68" s="342"/>
      <c r="B68" s="342"/>
      <c r="C68" s="653"/>
      <c r="D68" s="654"/>
      <c r="E68" s="654"/>
      <c r="F68" s="342"/>
      <c r="G68" s="342"/>
      <c r="H68" s="342"/>
      <c r="I68" s="342"/>
      <c r="J68" s="342"/>
      <c r="K68" s="342"/>
      <c r="L68" s="342"/>
      <c r="M68" s="342"/>
      <c r="N68" s="342"/>
    </row>
    <row r="69" spans="1:14">
      <c r="A69" s="342"/>
      <c r="B69" s="342"/>
      <c r="C69" s="653"/>
      <c r="D69" s="654"/>
      <c r="E69" s="654"/>
      <c r="F69" s="342"/>
      <c r="G69" s="342"/>
      <c r="H69" s="342"/>
      <c r="I69" s="342"/>
      <c r="J69" s="342"/>
      <c r="K69" s="342"/>
      <c r="L69" s="342"/>
      <c r="M69" s="342"/>
      <c r="N69" s="342"/>
    </row>
    <row r="70" spans="1:14">
      <c r="A70" s="342"/>
      <c r="B70" s="342"/>
      <c r="C70" s="653"/>
      <c r="D70" s="654"/>
      <c r="E70" s="654"/>
      <c r="F70" s="342"/>
      <c r="G70" s="342"/>
      <c r="H70" s="342"/>
      <c r="I70" s="342"/>
      <c r="J70" s="342"/>
      <c r="K70" s="342"/>
      <c r="L70" s="342"/>
      <c r="M70" s="342"/>
      <c r="N70" s="342"/>
    </row>
    <row r="71" spans="1:14">
      <c r="A71" s="342"/>
      <c r="B71" s="342"/>
      <c r="C71" s="653"/>
      <c r="D71" s="654"/>
      <c r="E71" s="654"/>
      <c r="F71" s="342"/>
      <c r="G71" s="342"/>
      <c r="H71" s="342"/>
      <c r="I71" s="342"/>
      <c r="J71" s="342"/>
      <c r="K71" s="342"/>
      <c r="L71" s="342"/>
      <c r="M71" s="342"/>
      <c r="N71" s="342"/>
    </row>
    <row r="72" spans="1:14">
      <c r="A72" s="342"/>
      <c r="B72" s="342"/>
      <c r="C72" s="653"/>
      <c r="D72" s="654"/>
      <c r="E72" s="654"/>
      <c r="F72" s="342"/>
      <c r="G72" s="342"/>
      <c r="H72" s="342"/>
      <c r="I72" s="342"/>
      <c r="J72" s="342"/>
      <c r="K72" s="342"/>
      <c r="L72" s="342"/>
      <c r="M72" s="342"/>
      <c r="N72" s="342"/>
    </row>
    <row r="73" spans="1:14">
      <c r="A73" s="342"/>
      <c r="B73" s="342"/>
      <c r="C73" s="653"/>
      <c r="D73" s="654"/>
      <c r="E73" s="654"/>
      <c r="F73" s="342"/>
      <c r="G73" s="342"/>
      <c r="H73" s="342"/>
      <c r="I73" s="342"/>
      <c r="J73" s="342"/>
      <c r="K73" s="342"/>
      <c r="L73" s="342"/>
      <c r="M73" s="342"/>
      <c r="N73" s="342"/>
    </row>
    <row r="74" spans="1:14">
      <c r="A74" s="342"/>
      <c r="B74" s="342"/>
      <c r="C74" s="653"/>
      <c r="D74" s="654"/>
      <c r="E74" s="654"/>
      <c r="F74" s="342"/>
      <c r="G74" s="342"/>
      <c r="H74" s="342"/>
      <c r="I74" s="342"/>
      <c r="J74" s="342"/>
      <c r="K74" s="342"/>
      <c r="L74" s="342"/>
      <c r="M74" s="342"/>
      <c r="N74" s="342"/>
    </row>
    <row r="75" spans="1:14">
      <c r="A75" s="342"/>
      <c r="B75" s="342"/>
      <c r="C75" s="653"/>
      <c r="D75" s="654"/>
      <c r="E75" s="654"/>
      <c r="F75" s="342"/>
      <c r="G75" s="342"/>
      <c r="H75" s="342"/>
      <c r="I75" s="342"/>
      <c r="J75" s="342"/>
      <c r="K75" s="342"/>
      <c r="L75" s="342"/>
      <c r="M75" s="342"/>
      <c r="N75" s="342"/>
    </row>
    <row r="76" spans="1:14">
      <c r="A76" s="342"/>
      <c r="B76" s="342"/>
      <c r="C76" s="653"/>
      <c r="D76" s="654"/>
      <c r="E76" s="654"/>
      <c r="F76" s="342"/>
      <c r="G76" s="342"/>
      <c r="H76" s="342"/>
      <c r="I76" s="342"/>
      <c r="J76" s="342"/>
      <c r="K76" s="342"/>
      <c r="L76" s="342"/>
      <c r="M76" s="342"/>
      <c r="N76" s="342"/>
    </row>
    <row r="77" spans="1:14">
      <c r="A77" s="342"/>
      <c r="B77" s="342"/>
      <c r="C77" s="653"/>
      <c r="D77" s="654"/>
      <c r="E77" s="654"/>
      <c r="F77" s="342"/>
      <c r="G77" s="342"/>
      <c r="H77" s="342"/>
      <c r="I77" s="342"/>
      <c r="J77" s="342"/>
      <c r="K77" s="342"/>
      <c r="L77" s="342"/>
      <c r="M77" s="342"/>
      <c r="N77" s="342"/>
    </row>
    <row r="78" spans="1:14">
      <c r="A78" s="342"/>
      <c r="B78" s="342"/>
      <c r="C78" s="653"/>
      <c r="D78" s="654"/>
      <c r="E78" s="654"/>
      <c r="F78" s="342"/>
      <c r="G78" s="342"/>
      <c r="H78" s="342"/>
      <c r="I78" s="342"/>
      <c r="J78" s="342"/>
      <c r="K78" s="342"/>
      <c r="L78" s="342"/>
      <c r="M78" s="342"/>
      <c r="N78" s="342"/>
    </row>
    <row r="79" spans="1:14">
      <c r="A79" s="342"/>
      <c r="B79" s="342"/>
      <c r="C79" s="653"/>
      <c r="D79" s="654"/>
      <c r="E79" s="654"/>
      <c r="F79" s="342"/>
      <c r="G79" s="342"/>
      <c r="H79" s="342"/>
      <c r="I79" s="342"/>
      <c r="J79" s="342"/>
      <c r="K79" s="342"/>
      <c r="L79" s="342"/>
      <c r="M79" s="342"/>
      <c r="N79" s="342"/>
    </row>
    <row r="80" spans="1:14">
      <c r="A80" s="342"/>
      <c r="B80" s="342"/>
      <c r="C80" s="653"/>
      <c r="D80" s="654"/>
      <c r="E80" s="654"/>
      <c r="F80" s="342"/>
      <c r="G80" s="342"/>
      <c r="H80" s="342"/>
      <c r="I80" s="342"/>
      <c r="J80" s="342"/>
      <c r="K80" s="342"/>
      <c r="L80" s="342"/>
      <c r="M80" s="342"/>
      <c r="N80" s="342"/>
    </row>
    <row r="81" spans="1:14">
      <c r="A81" s="342"/>
      <c r="B81" s="342"/>
      <c r="C81" s="653"/>
      <c r="D81" s="654"/>
      <c r="E81" s="654"/>
      <c r="F81" s="342"/>
      <c r="G81" s="342"/>
      <c r="H81" s="342"/>
      <c r="I81" s="342"/>
      <c r="J81" s="342"/>
      <c r="K81" s="342"/>
      <c r="L81" s="342"/>
      <c r="M81" s="342"/>
      <c r="N81" s="342"/>
    </row>
    <row r="82" spans="1:14">
      <c r="A82" s="342"/>
      <c r="B82" s="342"/>
      <c r="C82" s="653"/>
      <c r="D82" s="654"/>
      <c r="E82" s="654"/>
      <c r="F82" s="342"/>
      <c r="G82" s="342"/>
      <c r="H82" s="342"/>
      <c r="I82" s="342"/>
      <c r="J82" s="342"/>
      <c r="K82" s="342"/>
      <c r="L82" s="342"/>
      <c r="M82" s="342"/>
      <c r="N82" s="342"/>
    </row>
    <row r="83" spans="1:14">
      <c r="A83" s="342"/>
      <c r="B83" s="342"/>
      <c r="C83" s="653"/>
      <c r="D83" s="654"/>
      <c r="E83" s="654"/>
      <c r="F83" s="342"/>
      <c r="G83" s="342"/>
      <c r="H83" s="342"/>
      <c r="I83" s="342"/>
      <c r="J83" s="342"/>
      <c r="K83" s="342"/>
      <c r="L83" s="342"/>
      <c r="M83" s="342"/>
      <c r="N83" s="342"/>
    </row>
    <row r="84" spans="1:14">
      <c r="A84" s="342"/>
      <c r="B84" s="342"/>
      <c r="C84" s="653"/>
      <c r="D84" s="654"/>
      <c r="E84" s="654"/>
      <c r="F84" s="342"/>
      <c r="G84" s="342"/>
      <c r="H84" s="342"/>
      <c r="I84" s="342"/>
      <c r="J84" s="342"/>
      <c r="K84" s="342"/>
      <c r="L84" s="342"/>
      <c r="M84" s="342"/>
      <c r="N84" s="342"/>
    </row>
    <row r="85" spans="1:14">
      <c r="A85" s="342"/>
      <c r="B85" s="342"/>
      <c r="C85" s="653"/>
      <c r="D85" s="654"/>
      <c r="E85" s="654"/>
      <c r="F85" s="342"/>
      <c r="G85" s="342"/>
      <c r="H85" s="342"/>
      <c r="I85" s="342"/>
      <c r="J85" s="342"/>
      <c r="K85" s="342"/>
      <c r="L85" s="342"/>
      <c r="M85" s="342"/>
      <c r="N85" s="342"/>
    </row>
    <row r="86" spans="1:14">
      <c r="A86" s="342"/>
      <c r="B86" s="342"/>
      <c r="C86" s="653"/>
      <c r="D86" s="654"/>
      <c r="E86" s="654"/>
      <c r="F86" s="342"/>
      <c r="G86" s="342"/>
      <c r="H86" s="342"/>
      <c r="I86" s="342"/>
      <c r="J86" s="342"/>
      <c r="K86" s="342"/>
      <c r="L86" s="342"/>
      <c r="M86" s="342"/>
      <c r="N86" s="342"/>
    </row>
    <row r="87" spans="1:14">
      <c r="A87" s="342"/>
      <c r="B87" s="342"/>
      <c r="C87" s="653"/>
      <c r="D87" s="654"/>
      <c r="E87" s="654"/>
      <c r="F87" s="342"/>
      <c r="G87" s="342"/>
      <c r="H87" s="342"/>
      <c r="I87" s="342"/>
      <c r="J87" s="342"/>
      <c r="K87" s="342"/>
      <c r="L87" s="342"/>
      <c r="M87" s="342"/>
      <c r="N87" s="342"/>
    </row>
    <row r="88" spans="1:14">
      <c r="A88" s="342"/>
      <c r="B88" s="342"/>
      <c r="C88" s="653"/>
      <c r="D88" s="654"/>
      <c r="E88" s="654"/>
      <c r="F88" s="342"/>
      <c r="G88" s="342"/>
      <c r="H88" s="342"/>
      <c r="I88" s="342"/>
      <c r="J88" s="342"/>
      <c r="K88" s="342"/>
      <c r="L88" s="342"/>
      <c r="M88" s="342"/>
      <c r="N88" s="342"/>
    </row>
    <row r="89" spans="1:14">
      <c r="A89" s="342"/>
      <c r="B89" s="342"/>
      <c r="C89" s="653"/>
      <c r="D89" s="654"/>
      <c r="E89" s="654"/>
      <c r="F89" s="342"/>
      <c r="G89" s="342"/>
      <c r="H89" s="342"/>
      <c r="I89" s="342"/>
      <c r="J89" s="342"/>
      <c r="K89" s="342"/>
      <c r="L89" s="342"/>
      <c r="M89" s="342"/>
      <c r="N89" s="342"/>
    </row>
    <row r="90" spans="1:14">
      <c r="A90" s="342"/>
      <c r="B90" s="342"/>
      <c r="C90" s="653"/>
      <c r="D90" s="654"/>
      <c r="E90" s="654"/>
      <c r="F90" s="342"/>
      <c r="G90" s="342"/>
      <c r="H90" s="342"/>
      <c r="I90" s="342"/>
      <c r="J90" s="342"/>
      <c r="K90" s="342"/>
      <c r="L90" s="342"/>
      <c r="M90" s="342"/>
      <c r="N90" s="342"/>
    </row>
    <row r="91" spans="1:14">
      <c r="A91" s="342"/>
      <c r="B91" s="342"/>
      <c r="C91" s="653"/>
      <c r="D91" s="654"/>
      <c r="E91" s="654"/>
      <c r="F91" s="342"/>
      <c r="G91" s="342"/>
      <c r="H91" s="342"/>
      <c r="I91" s="342"/>
      <c r="J91" s="342"/>
      <c r="K91" s="342"/>
      <c r="L91" s="342"/>
      <c r="M91" s="342"/>
      <c r="N91" s="342"/>
    </row>
    <row r="92" spans="1:14">
      <c r="A92" s="342"/>
      <c r="B92" s="342"/>
      <c r="C92" s="653"/>
      <c r="D92" s="654"/>
      <c r="E92" s="654"/>
      <c r="F92" s="342"/>
      <c r="G92" s="342"/>
      <c r="H92" s="342"/>
      <c r="I92" s="342"/>
      <c r="J92" s="342"/>
      <c r="K92" s="342"/>
      <c r="L92" s="342"/>
      <c r="M92" s="342"/>
      <c r="N92" s="342"/>
    </row>
    <row r="93" spans="1:14">
      <c r="A93" s="342"/>
      <c r="B93" s="342"/>
      <c r="C93" s="653"/>
      <c r="D93" s="654"/>
      <c r="E93" s="654"/>
      <c r="F93" s="342"/>
      <c r="G93" s="342"/>
      <c r="H93" s="342"/>
      <c r="I93" s="342"/>
      <c r="J93" s="342"/>
      <c r="K93" s="342"/>
      <c r="L93" s="342"/>
      <c r="M93" s="342"/>
      <c r="N93" s="342"/>
    </row>
    <row r="94" spans="1:14">
      <c r="A94" s="342"/>
      <c r="B94" s="342"/>
      <c r="C94" s="653"/>
      <c r="D94" s="654"/>
      <c r="E94" s="654"/>
      <c r="F94" s="342"/>
      <c r="G94" s="342"/>
      <c r="H94" s="342"/>
      <c r="I94" s="342"/>
      <c r="J94" s="342"/>
      <c r="K94" s="342"/>
      <c r="L94" s="342"/>
      <c r="M94" s="342"/>
      <c r="N94" s="342"/>
    </row>
    <row r="95" spans="1:14">
      <c r="A95" s="342"/>
      <c r="B95" s="342"/>
      <c r="C95" s="653"/>
      <c r="D95" s="654"/>
      <c r="E95" s="654"/>
      <c r="F95" s="342"/>
      <c r="G95" s="342"/>
      <c r="H95" s="342"/>
      <c r="I95" s="342"/>
      <c r="J95" s="342"/>
      <c r="K95" s="342"/>
      <c r="L95" s="342"/>
      <c r="M95" s="342"/>
      <c r="N95" s="342"/>
    </row>
    <row r="96" spans="1:14">
      <c r="A96" s="342"/>
      <c r="B96" s="342"/>
      <c r="C96" s="653"/>
      <c r="D96" s="654"/>
      <c r="E96" s="654"/>
      <c r="F96" s="342"/>
      <c r="G96" s="342"/>
      <c r="H96" s="342"/>
      <c r="I96" s="342"/>
      <c r="J96" s="342"/>
      <c r="K96" s="342"/>
      <c r="L96" s="342"/>
      <c r="M96" s="342"/>
      <c r="N96" s="342"/>
    </row>
    <row r="97" spans="1:14">
      <c r="A97" s="342"/>
      <c r="B97" s="342"/>
      <c r="C97" s="653"/>
      <c r="D97" s="654"/>
      <c r="E97" s="654"/>
      <c r="F97" s="342"/>
      <c r="G97" s="342"/>
      <c r="H97" s="342"/>
      <c r="I97" s="342"/>
      <c r="J97" s="342"/>
      <c r="K97" s="342"/>
      <c r="L97" s="342"/>
      <c r="M97" s="342"/>
      <c r="N97" s="342"/>
    </row>
    <row r="98" spans="1:14">
      <c r="A98" s="342"/>
      <c r="B98" s="342"/>
      <c r="C98" s="653"/>
      <c r="D98" s="654"/>
      <c r="E98" s="654"/>
      <c r="F98" s="342"/>
      <c r="G98" s="342"/>
      <c r="H98" s="342"/>
      <c r="I98" s="342"/>
      <c r="J98" s="342"/>
      <c r="K98" s="342"/>
      <c r="L98" s="342"/>
      <c r="M98" s="342"/>
      <c r="N98" s="342"/>
    </row>
    <row r="99" spans="1:14">
      <c r="A99" s="342"/>
      <c r="B99" s="342"/>
      <c r="C99" s="653"/>
      <c r="D99" s="654"/>
      <c r="E99" s="654"/>
      <c r="F99" s="342"/>
      <c r="G99" s="342"/>
      <c r="H99" s="342"/>
      <c r="I99" s="342"/>
      <c r="J99" s="342"/>
      <c r="K99" s="342"/>
      <c r="L99" s="342"/>
      <c r="M99" s="342"/>
      <c r="N99" s="342"/>
    </row>
    <row r="100" spans="1:14">
      <c r="A100" s="342"/>
      <c r="B100" s="342"/>
      <c r="C100" s="653"/>
      <c r="D100" s="654"/>
      <c r="E100" s="654"/>
      <c r="F100" s="342"/>
      <c r="G100" s="342"/>
      <c r="H100" s="342"/>
      <c r="I100" s="342"/>
      <c r="J100" s="342"/>
      <c r="K100" s="342"/>
      <c r="L100" s="342"/>
      <c r="M100" s="342"/>
      <c r="N100" s="342"/>
    </row>
    <row r="101" spans="1:14">
      <c r="A101" s="342"/>
      <c r="B101" s="342"/>
      <c r="C101" s="653"/>
      <c r="D101" s="654"/>
      <c r="E101" s="654"/>
      <c r="F101" s="342"/>
      <c r="G101" s="342"/>
      <c r="H101" s="342"/>
      <c r="I101" s="342"/>
      <c r="J101" s="342"/>
      <c r="K101" s="342"/>
      <c r="L101" s="342"/>
      <c r="M101" s="342"/>
      <c r="N101" s="342"/>
    </row>
    <row r="102" spans="1:14">
      <c r="A102" s="342"/>
      <c r="B102" s="342"/>
      <c r="C102" s="653"/>
      <c r="D102" s="654"/>
      <c r="E102" s="654"/>
      <c r="F102" s="342"/>
      <c r="G102" s="342"/>
      <c r="H102" s="342"/>
      <c r="I102" s="342"/>
      <c r="J102" s="342"/>
      <c r="K102" s="342"/>
      <c r="L102" s="342"/>
      <c r="M102" s="342"/>
      <c r="N102" s="342"/>
    </row>
    <row r="103" spans="1:14">
      <c r="A103" s="342"/>
      <c r="B103" s="342"/>
      <c r="C103" s="653"/>
      <c r="D103" s="654"/>
      <c r="E103" s="654"/>
      <c r="F103" s="342"/>
      <c r="G103" s="342"/>
      <c r="H103" s="342"/>
      <c r="I103" s="342"/>
      <c r="J103" s="342"/>
      <c r="K103" s="342"/>
      <c r="L103" s="342"/>
      <c r="M103" s="342"/>
      <c r="N103" s="342"/>
    </row>
    <row r="104" spans="1:14">
      <c r="A104" s="342"/>
      <c r="B104" s="342"/>
      <c r="C104" s="653"/>
      <c r="D104" s="654"/>
      <c r="E104" s="654"/>
      <c r="F104" s="342"/>
      <c r="G104" s="342"/>
      <c r="H104" s="342"/>
      <c r="I104" s="342"/>
      <c r="J104" s="342"/>
      <c r="K104" s="342"/>
      <c r="L104" s="342"/>
      <c r="M104" s="342"/>
      <c r="N104" s="342"/>
    </row>
    <row r="105" spans="1:14">
      <c r="A105" s="342"/>
      <c r="B105" s="342"/>
      <c r="C105" s="653"/>
      <c r="D105" s="654"/>
      <c r="E105" s="654"/>
      <c r="F105" s="342"/>
      <c r="G105" s="342"/>
      <c r="H105" s="342"/>
      <c r="I105" s="342"/>
      <c r="J105" s="342"/>
      <c r="K105" s="342"/>
      <c r="L105" s="342"/>
      <c r="M105" s="342"/>
      <c r="N105" s="342"/>
    </row>
    <row r="106" spans="1:14">
      <c r="A106" s="342"/>
      <c r="B106" s="342"/>
      <c r="C106" s="653"/>
      <c r="D106" s="654"/>
      <c r="E106" s="654"/>
      <c r="F106" s="342"/>
      <c r="G106" s="342"/>
      <c r="H106" s="342"/>
      <c r="I106" s="342"/>
      <c r="J106" s="342"/>
      <c r="K106" s="342"/>
      <c r="L106" s="342"/>
      <c r="M106" s="342"/>
      <c r="N106" s="342"/>
    </row>
    <row r="107" spans="1:14">
      <c r="A107" s="342"/>
      <c r="B107" s="342"/>
      <c r="C107" s="653"/>
      <c r="D107" s="654"/>
      <c r="E107" s="654"/>
      <c r="F107" s="342"/>
      <c r="G107" s="342"/>
      <c r="H107" s="342"/>
      <c r="I107" s="342"/>
      <c r="J107" s="342"/>
      <c r="K107" s="342"/>
      <c r="L107" s="342"/>
      <c r="M107" s="342"/>
      <c r="N107" s="342"/>
    </row>
    <row r="108" spans="1:14">
      <c r="A108" s="342"/>
      <c r="B108" s="342"/>
      <c r="C108" s="653"/>
      <c r="D108" s="654"/>
      <c r="E108" s="654"/>
      <c r="F108" s="342"/>
      <c r="G108" s="342"/>
      <c r="H108" s="342"/>
      <c r="I108" s="342"/>
      <c r="J108" s="342"/>
      <c r="K108" s="342"/>
      <c r="L108" s="342"/>
      <c r="M108" s="342"/>
      <c r="N108" s="342"/>
    </row>
    <row r="109" spans="1:14">
      <c r="A109" s="342"/>
      <c r="B109" s="342"/>
      <c r="C109" s="653"/>
      <c r="D109" s="654"/>
      <c r="E109" s="654"/>
      <c r="F109" s="342"/>
      <c r="G109" s="342"/>
      <c r="H109" s="342"/>
      <c r="I109" s="342"/>
      <c r="J109" s="342"/>
      <c r="K109" s="342"/>
      <c r="L109" s="342"/>
      <c r="M109" s="342"/>
      <c r="N109" s="342"/>
    </row>
    <row r="110" spans="1:14">
      <c r="A110" s="342"/>
      <c r="B110" s="342"/>
      <c r="C110" s="653"/>
      <c r="D110" s="654"/>
      <c r="E110" s="654"/>
      <c r="F110" s="342"/>
      <c r="G110" s="342"/>
      <c r="H110" s="342"/>
      <c r="I110" s="342"/>
      <c r="J110" s="342"/>
      <c r="K110" s="342"/>
      <c r="L110" s="342"/>
      <c r="M110" s="342"/>
      <c r="N110" s="342"/>
    </row>
    <row r="111" spans="1:14">
      <c r="A111" s="342"/>
      <c r="B111" s="342"/>
      <c r="C111" s="653"/>
      <c r="D111" s="654"/>
      <c r="E111" s="654"/>
      <c r="F111" s="342"/>
      <c r="G111" s="342"/>
      <c r="H111" s="342"/>
      <c r="I111" s="342"/>
      <c r="J111" s="342"/>
      <c r="K111" s="342"/>
      <c r="L111" s="342"/>
      <c r="M111" s="342"/>
      <c r="N111" s="342"/>
    </row>
    <row r="112" spans="1:14">
      <c r="A112" s="342"/>
      <c r="B112" s="342"/>
      <c r="C112" s="653"/>
      <c r="D112" s="654"/>
      <c r="E112" s="654"/>
      <c r="F112" s="342"/>
      <c r="G112" s="342"/>
      <c r="H112" s="342"/>
      <c r="I112" s="342"/>
      <c r="J112" s="342"/>
      <c r="K112" s="342"/>
      <c r="L112" s="342"/>
      <c r="M112" s="342"/>
      <c r="N112" s="342"/>
    </row>
    <row r="113" spans="1:14">
      <c r="A113" s="342"/>
      <c r="B113" s="342"/>
      <c r="C113" s="653"/>
      <c r="D113" s="654"/>
      <c r="E113" s="654"/>
      <c r="F113" s="342"/>
      <c r="G113" s="342"/>
      <c r="H113" s="342"/>
      <c r="I113" s="342"/>
      <c r="J113" s="342"/>
      <c r="K113" s="342"/>
      <c r="L113" s="342"/>
      <c r="M113" s="342"/>
      <c r="N113" s="342"/>
    </row>
    <row r="114" spans="1:14">
      <c r="A114" s="342"/>
      <c r="B114" s="342"/>
      <c r="C114" s="653"/>
      <c r="D114" s="654"/>
      <c r="E114" s="654"/>
      <c r="F114" s="342"/>
      <c r="G114" s="342"/>
      <c r="H114" s="342"/>
      <c r="I114" s="342"/>
      <c r="J114" s="342"/>
      <c r="K114" s="342"/>
      <c r="L114" s="342"/>
      <c r="M114" s="342"/>
      <c r="N114" s="342"/>
    </row>
    <row r="115" spans="1:14">
      <c r="A115" s="342"/>
      <c r="B115" s="342"/>
      <c r="C115" s="653"/>
      <c r="D115" s="654"/>
      <c r="E115" s="654"/>
      <c r="F115" s="342"/>
      <c r="G115" s="342"/>
      <c r="H115" s="342"/>
      <c r="I115" s="342"/>
      <c r="J115" s="342"/>
      <c r="K115" s="342"/>
      <c r="L115" s="342"/>
      <c r="M115" s="342"/>
      <c r="N115" s="342"/>
    </row>
    <row r="116" spans="1:14">
      <c r="A116" s="342"/>
      <c r="B116" s="342"/>
      <c r="C116" s="653"/>
      <c r="D116" s="654"/>
      <c r="E116" s="654"/>
      <c r="F116" s="342"/>
      <c r="G116" s="342"/>
      <c r="H116" s="342"/>
      <c r="I116" s="342"/>
      <c r="J116" s="342"/>
      <c r="K116" s="342"/>
      <c r="L116" s="342"/>
      <c r="M116" s="342"/>
      <c r="N116" s="342"/>
    </row>
    <row r="117" spans="1:14">
      <c r="A117" s="342"/>
      <c r="B117" s="342"/>
      <c r="C117" s="653"/>
      <c r="D117" s="654"/>
      <c r="E117" s="654"/>
      <c r="F117" s="342"/>
      <c r="G117" s="342"/>
      <c r="H117" s="342"/>
      <c r="I117" s="342"/>
      <c r="J117" s="342"/>
      <c r="K117" s="342"/>
      <c r="L117" s="342"/>
      <c r="M117" s="342"/>
      <c r="N117" s="342"/>
    </row>
    <row r="118" spans="1:14">
      <c r="A118" s="342"/>
      <c r="B118" s="342"/>
      <c r="C118" s="653"/>
      <c r="D118" s="654"/>
      <c r="E118" s="654"/>
      <c r="F118" s="342"/>
      <c r="G118" s="342"/>
      <c r="H118" s="342"/>
      <c r="I118" s="342"/>
      <c r="J118" s="342"/>
      <c r="K118" s="342"/>
      <c r="L118" s="342"/>
      <c r="M118" s="342"/>
      <c r="N118" s="342"/>
    </row>
    <row r="119" spans="1:14">
      <c r="A119" s="342"/>
      <c r="B119" s="342"/>
      <c r="C119" s="653"/>
      <c r="D119" s="654"/>
      <c r="E119" s="654"/>
      <c r="F119" s="342"/>
      <c r="G119" s="342"/>
      <c r="H119" s="342"/>
      <c r="I119" s="342"/>
      <c r="J119" s="342"/>
      <c r="K119" s="342"/>
      <c r="L119" s="342"/>
      <c r="M119" s="342"/>
      <c r="N119" s="342"/>
    </row>
    <row r="120" spans="1:14">
      <c r="A120" s="342"/>
      <c r="B120" s="342"/>
      <c r="C120" s="653"/>
      <c r="D120" s="654"/>
      <c r="E120" s="654"/>
      <c r="F120" s="342"/>
      <c r="G120" s="342"/>
      <c r="H120" s="342"/>
      <c r="I120" s="342"/>
      <c r="J120" s="342"/>
      <c r="K120" s="342"/>
      <c r="L120" s="342"/>
      <c r="M120" s="342"/>
      <c r="N120" s="342"/>
    </row>
    <row r="121" spans="1:14">
      <c r="A121" s="342"/>
      <c r="B121" s="342"/>
      <c r="C121" s="653"/>
      <c r="D121" s="654"/>
      <c r="E121" s="654"/>
      <c r="F121" s="342"/>
      <c r="G121" s="342"/>
      <c r="H121" s="342"/>
      <c r="I121" s="342"/>
      <c r="J121" s="342"/>
      <c r="K121" s="342"/>
      <c r="L121" s="342"/>
      <c r="M121" s="342"/>
      <c r="N121" s="342"/>
    </row>
  </sheetData>
  <mergeCells count="67">
    <mergeCell ref="B12:C12"/>
    <mergeCell ref="A16:C16"/>
    <mergeCell ref="B13:C13"/>
    <mergeCell ref="A38:C38"/>
    <mergeCell ref="A39:C39"/>
    <mergeCell ref="A37:C37"/>
    <mergeCell ref="B15:C15"/>
    <mergeCell ref="B14:C14"/>
    <mergeCell ref="A17:N17"/>
    <mergeCell ref="B18:C18"/>
    <mergeCell ref="B19:C19"/>
    <mergeCell ref="B27:C27"/>
    <mergeCell ref="B24:C24"/>
    <mergeCell ref="B25:C25"/>
    <mergeCell ref="B26:C26"/>
    <mergeCell ref="H32:N32"/>
    <mergeCell ref="D40:E40"/>
    <mergeCell ref="F40:G40"/>
    <mergeCell ref="F37:G37"/>
    <mergeCell ref="A28:C28"/>
    <mergeCell ref="A29:C29"/>
    <mergeCell ref="A30:N30"/>
    <mergeCell ref="A31:N31"/>
    <mergeCell ref="A32:C33"/>
    <mergeCell ref="D32:D33"/>
    <mergeCell ref="E32:E33"/>
    <mergeCell ref="A34:C34"/>
    <mergeCell ref="A35:C35"/>
    <mergeCell ref="A36:C36"/>
    <mergeCell ref="A40:C40"/>
    <mergeCell ref="D37:E37"/>
    <mergeCell ref="F32:G32"/>
    <mergeCell ref="T20:Z20"/>
    <mergeCell ref="AA20:AA21"/>
    <mergeCell ref="AB20:AH20"/>
    <mergeCell ref="B22:C22"/>
    <mergeCell ref="B23:C23"/>
    <mergeCell ref="R20:R21"/>
    <mergeCell ref="A20:N21"/>
    <mergeCell ref="Q20:Q21"/>
    <mergeCell ref="S20:S21"/>
    <mergeCell ref="BG3:BG4"/>
    <mergeCell ref="BH3:BH4"/>
    <mergeCell ref="S3:S4"/>
    <mergeCell ref="T3:Z3"/>
    <mergeCell ref="AA3:AA4"/>
    <mergeCell ref="AB3:AH3"/>
    <mergeCell ref="AU3:AU4"/>
    <mergeCell ref="AV3:AV4"/>
    <mergeCell ref="AW3:BC3"/>
    <mergeCell ref="BD3:BD4"/>
    <mergeCell ref="BE3:BE4"/>
    <mergeCell ref="BF3:BF4"/>
    <mergeCell ref="A5:N5"/>
    <mergeCell ref="B6:C6"/>
    <mergeCell ref="B7:C7"/>
    <mergeCell ref="B9:C9"/>
    <mergeCell ref="B11:C11"/>
    <mergeCell ref="B8:C8"/>
    <mergeCell ref="B10:C10"/>
    <mergeCell ref="A2:N2"/>
    <mergeCell ref="A3:A4"/>
    <mergeCell ref="B3:C4"/>
    <mergeCell ref="D3:D4"/>
    <mergeCell ref="E3:E4"/>
    <mergeCell ref="F3:G3"/>
    <mergeCell ref="H3:N3"/>
  </mergeCells>
  <pageMargins left="0.7" right="0.7" top="0.75" bottom="0.75" header="0.3" footer="0.3"/>
  <pageSetup paperSize="9" orientation="landscape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B1:M30"/>
  <sheetViews>
    <sheetView view="pageBreakPreview" zoomScale="85" zoomScaleNormal="70" zoomScaleSheetLayoutView="85" workbookViewId="0">
      <selection activeCell="B7" sqref="B7"/>
    </sheetView>
  </sheetViews>
  <sheetFormatPr defaultRowHeight="14.25"/>
  <cols>
    <col min="1" max="1" width="2.625" customWidth="1"/>
    <col min="2" max="2" width="14.25" customWidth="1"/>
    <col min="3" max="3" width="18.125" customWidth="1"/>
    <col min="4" max="6" width="14.25" customWidth="1"/>
    <col min="7" max="7" width="16.5" customWidth="1"/>
    <col min="8" max="15" width="14.375" customWidth="1"/>
  </cols>
  <sheetData>
    <row r="1" spans="2:13" s="561" customFormat="1"/>
    <row r="2" spans="2:13" s="561" customFormat="1" ht="15">
      <c r="B2" s="562" t="s">
        <v>510</v>
      </c>
      <c r="C2" s="562"/>
      <c r="D2" s="562"/>
      <c r="E2" s="562"/>
      <c r="F2" s="562"/>
      <c r="G2" s="562"/>
      <c r="H2" s="562"/>
      <c r="I2" s="562"/>
    </row>
    <row r="3" spans="2:13" s="561" customFormat="1"/>
    <row r="4" spans="2:13" s="561" customFormat="1">
      <c r="B4" s="561" t="s">
        <v>545</v>
      </c>
    </row>
    <row r="5" spans="2:13" s="561" customFormat="1">
      <c r="B5" s="561" t="s">
        <v>546</v>
      </c>
    </row>
    <row r="6" spans="2:13" s="561" customFormat="1">
      <c r="B6" s="561" t="s">
        <v>511</v>
      </c>
    </row>
    <row r="7" spans="2:13" s="561" customFormat="1">
      <c r="B7" s="561" t="s">
        <v>512</v>
      </c>
    </row>
    <row r="8" spans="2:13" s="561" customFormat="1">
      <c r="B8" s="561" t="s">
        <v>513</v>
      </c>
    </row>
    <row r="9" spans="2:13">
      <c r="B9" s="938"/>
      <c r="C9" s="938"/>
      <c r="D9" s="938"/>
      <c r="E9" s="938"/>
      <c r="F9" s="938"/>
      <c r="G9" s="938"/>
      <c r="H9" s="938"/>
      <c r="I9" s="938"/>
      <c r="J9" s="938"/>
      <c r="K9" s="938"/>
      <c r="L9" s="938"/>
      <c r="M9" s="938"/>
    </row>
    <row r="10" spans="2:13">
      <c r="B10" s="7" t="s">
        <v>514</v>
      </c>
      <c r="C10" s="7"/>
      <c r="D10" s="7"/>
      <c r="E10" s="7"/>
      <c r="F10" s="7"/>
      <c r="G10" s="7"/>
      <c r="H10" s="7"/>
      <c r="I10" s="7"/>
      <c r="J10" s="7"/>
      <c r="K10" s="7"/>
    </row>
    <row r="11" spans="2:13" ht="85.5">
      <c r="B11" s="60" t="s">
        <v>515</v>
      </c>
      <c r="C11" s="60" t="s">
        <v>516</v>
      </c>
      <c r="D11" s="60" t="s">
        <v>517</v>
      </c>
      <c r="E11" s="60" t="s">
        <v>518</v>
      </c>
      <c r="F11" s="60" t="s">
        <v>519</v>
      </c>
      <c r="G11" s="60" t="s">
        <v>520</v>
      </c>
      <c r="H11" s="60" t="s">
        <v>521</v>
      </c>
      <c r="I11" s="60" t="s">
        <v>522</v>
      </c>
      <c r="J11" s="60" t="s">
        <v>523</v>
      </c>
      <c r="K11" s="60" t="s">
        <v>524</v>
      </c>
    </row>
    <row r="12" spans="2:13">
      <c r="B12" s="552" t="s">
        <v>307</v>
      </c>
      <c r="C12" s="552" t="s">
        <v>526</v>
      </c>
      <c r="D12" s="552" t="s">
        <v>527</v>
      </c>
      <c r="E12" s="552" t="s">
        <v>528</v>
      </c>
      <c r="F12" s="552" t="s">
        <v>529</v>
      </c>
      <c r="G12" s="552" t="s">
        <v>530</v>
      </c>
      <c r="H12" s="552" t="s">
        <v>531</v>
      </c>
      <c r="I12" s="552" t="s">
        <v>532</v>
      </c>
      <c r="J12" s="552" t="s">
        <v>533</v>
      </c>
      <c r="K12" s="552" t="s">
        <v>534</v>
      </c>
    </row>
    <row r="13" spans="2:13">
      <c r="B13" s="563">
        <v>11</v>
      </c>
      <c r="C13" s="563" t="s">
        <v>535</v>
      </c>
      <c r="D13" s="565"/>
      <c r="E13" s="565">
        <f>D13/B13</f>
        <v>0</v>
      </c>
      <c r="F13" s="565">
        <v>36</v>
      </c>
      <c r="G13" s="565">
        <f>D13/100*F13/1000</f>
        <v>0</v>
      </c>
      <c r="H13" s="565">
        <v>840</v>
      </c>
      <c r="I13" s="565">
        <f>G13*H13</f>
        <v>0</v>
      </c>
      <c r="J13" s="565">
        <v>43</v>
      </c>
      <c r="K13" s="565">
        <f>I13*J13/1000</f>
        <v>0</v>
      </c>
    </row>
    <row r="14" spans="2:13" ht="15" thickBot="1"/>
    <row r="15" spans="2:13">
      <c r="B15" s="929" t="s">
        <v>536</v>
      </c>
      <c r="C15" s="930"/>
      <c r="D15" s="930"/>
      <c r="E15" s="930"/>
      <c r="F15" s="930"/>
      <c r="G15" s="930"/>
      <c r="H15" s="930"/>
      <c r="I15" s="930"/>
      <c r="J15" s="930"/>
      <c r="K15" s="930"/>
      <c r="L15" s="930"/>
      <c r="M15" s="931"/>
    </row>
    <row r="16" spans="2:13">
      <c r="B16" s="932"/>
      <c r="C16" s="933"/>
      <c r="D16" s="933"/>
      <c r="E16" s="933"/>
      <c r="F16" s="933"/>
      <c r="G16" s="933"/>
      <c r="H16" s="933"/>
      <c r="I16" s="933"/>
      <c r="J16" s="933"/>
      <c r="K16" s="933"/>
      <c r="L16" s="933"/>
      <c r="M16" s="934"/>
    </row>
    <row r="17" spans="2:13" ht="15" thickBot="1">
      <c r="B17" s="935"/>
      <c r="C17" s="936"/>
      <c r="D17" s="936"/>
      <c r="E17" s="936"/>
      <c r="F17" s="936"/>
      <c r="G17" s="936"/>
      <c r="H17" s="936"/>
      <c r="I17" s="936"/>
      <c r="J17" s="936"/>
      <c r="K17" s="936"/>
      <c r="L17" s="936"/>
      <c r="M17" s="937"/>
    </row>
    <row r="19" spans="2:13">
      <c r="B19" s="938" t="s">
        <v>541</v>
      </c>
      <c r="C19" s="938"/>
      <c r="D19" s="938"/>
      <c r="E19" s="938"/>
      <c r="F19" s="938"/>
      <c r="G19" s="938"/>
      <c r="H19" s="938"/>
      <c r="I19" s="938"/>
      <c r="J19" s="938"/>
      <c r="K19" s="938"/>
      <c r="L19" s="938"/>
      <c r="M19" s="938"/>
    </row>
    <row r="20" spans="2:13">
      <c r="B20" s="515" t="s">
        <v>66</v>
      </c>
      <c r="C20" s="515" t="s">
        <v>67</v>
      </c>
      <c r="D20" s="515" t="s">
        <v>100</v>
      </c>
      <c r="E20" s="515" t="s">
        <v>188</v>
      </c>
      <c r="F20" s="515" t="s">
        <v>198</v>
      </c>
      <c r="G20" s="515" t="s">
        <v>139</v>
      </c>
      <c r="H20" s="515" t="s">
        <v>72</v>
      </c>
    </row>
    <row r="21" spans="2:13">
      <c r="B21" s="564" t="e">
        <f>$I$13*#REF!/1000000</f>
        <v>#REF!</v>
      </c>
      <c r="C21" s="564" t="e">
        <f>$I$13*#REF!/1000000</f>
        <v>#REF!</v>
      </c>
      <c r="D21" s="564" t="e">
        <f>$I$13*#REF!/1000</f>
        <v>#REF!</v>
      </c>
      <c r="E21" s="564" t="e">
        <f>$I$13*#REF!/1000000</f>
        <v>#REF!</v>
      </c>
      <c r="F21" s="564" t="e">
        <f>$I$13*#REF!/1000000</f>
        <v>#REF!</v>
      </c>
      <c r="G21" s="564" t="e">
        <f>$I$13*#REF!/1000000</f>
        <v>#REF!</v>
      </c>
      <c r="H21" s="564" t="e">
        <f>$I$13*#REF!/1000000</f>
        <v>#REF!</v>
      </c>
    </row>
    <row r="23" spans="2:13">
      <c r="B23" s="7" t="s">
        <v>542</v>
      </c>
    </row>
    <row r="24" spans="2:13" ht="85.5">
      <c r="B24" s="60" t="s">
        <v>515</v>
      </c>
      <c r="C24" s="60" t="s">
        <v>516</v>
      </c>
      <c r="D24" s="60" t="s">
        <v>517</v>
      </c>
      <c r="E24" s="60" t="s">
        <v>518</v>
      </c>
      <c r="F24" s="60" t="s">
        <v>537</v>
      </c>
      <c r="G24" s="60" t="s">
        <v>538</v>
      </c>
      <c r="H24" s="60" t="s">
        <v>142</v>
      </c>
      <c r="I24" s="60" t="s">
        <v>525</v>
      </c>
    </row>
    <row r="25" spans="2:13">
      <c r="B25" s="552" t="s">
        <v>307</v>
      </c>
      <c r="C25" s="552" t="s">
        <v>526</v>
      </c>
      <c r="D25" s="552" t="s">
        <v>527</v>
      </c>
      <c r="E25" s="552" t="s">
        <v>528</v>
      </c>
      <c r="F25" s="552" t="s">
        <v>529</v>
      </c>
      <c r="G25" s="552" t="s">
        <v>539</v>
      </c>
      <c r="H25" s="552" t="s">
        <v>531</v>
      </c>
      <c r="I25" s="552" t="s">
        <v>540</v>
      </c>
    </row>
    <row r="26" spans="2:13">
      <c r="B26" s="563">
        <v>10</v>
      </c>
      <c r="C26" s="563" t="s">
        <v>9</v>
      </c>
      <c r="D26" s="565">
        <f>D13</f>
        <v>0</v>
      </c>
      <c r="E26" s="565">
        <f>D26/B26</f>
        <v>0</v>
      </c>
      <c r="F26" s="566">
        <f>1/1000</f>
        <v>1E-3</v>
      </c>
      <c r="G26" s="565">
        <f>F26*D26</f>
        <v>0</v>
      </c>
      <c r="H26" s="565">
        <f>'Wskaźniki emisji, założenia'!C72</f>
        <v>0.81200000000000006</v>
      </c>
      <c r="I26" s="565">
        <f>G26*H26</f>
        <v>0</v>
      </c>
      <c r="L26" s="356"/>
    </row>
    <row r="28" spans="2:13">
      <c r="B28" s="7" t="s">
        <v>543</v>
      </c>
    </row>
    <row r="29" spans="2:13" ht="42.75">
      <c r="B29" s="60" t="s">
        <v>544</v>
      </c>
      <c r="C29" s="515" t="s">
        <v>66</v>
      </c>
      <c r="D29" s="515" t="s">
        <v>67</v>
      </c>
      <c r="E29" s="515" t="s">
        <v>100</v>
      </c>
      <c r="F29" s="515" t="s">
        <v>188</v>
      </c>
      <c r="G29" s="515" t="s">
        <v>198</v>
      </c>
      <c r="H29" s="515" t="s">
        <v>139</v>
      </c>
      <c r="I29" s="515" t="s">
        <v>72</v>
      </c>
    </row>
    <row r="30" spans="2:13">
      <c r="B30" s="3">
        <f>K13-G26*3.6</f>
        <v>0</v>
      </c>
      <c r="C30" s="564" t="e">
        <f>B21</f>
        <v>#REF!</v>
      </c>
      <c r="D30" s="564" t="e">
        <f>C21</f>
        <v>#REF!</v>
      </c>
      <c r="E30" s="564" t="e">
        <f>D21-I26</f>
        <v>#REF!</v>
      </c>
      <c r="F30" s="564" t="e">
        <f>E21</f>
        <v>#REF!</v>
      </c>
      <c r="G30" s="564" t="e">
        <f>F21</f>
        <v>#REF!</v>
      </c>
      <c r="H30" s="564" t="e">
        <f>G21</f>
        <v>#REF!</v>
      </c>
      <c r="I30" s="564" t="e">
        <f>H21</f>
        <v>#REF!</v>
      </c>
    </row>
  </sheetData>
  <mergeCells count="3">
    <mergeCell ref="B15:M17"/>
    <mergeCell ref="B19:M19"/>
    <mergeCell ref="B9:M9"/>
  </mergeCells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10</vt:i4>
      </vt:variant>
    </vt:vector>
  </HeadingPairs>
  <TitlesOfParts>
    <vt:vector size="30" baseType="lpstr">
      <vt:lpstr>emisja</vt:lpstr>
      <vt:lpstr>Z</vt:lpstr>
      <vt:lpstr>Wskaźniki emisji, założenia</vt:lpstr>
      <vt:lpstr>Bud.gminne 2015 </vt:lpstr>
      <vt:lpstr>Oświetlenie, en.elektr. 2015</vt:lpstr>
      <vt:lpstr>Mieszkalnictwo 2015</vt:lpstr>
      <vt:lpstr>Mieszkalne emisja, energia</vt:lpstr>
      <vt:lpstr>Działalność gospodarcza 2015</vt:lpstr>
      <vt:lpstr>Działalność gospodarcza 204</vt:lpstr>
      <vt:lpstr>Przedsiębiorcy, przemysł</vt:lpstr>
      <vt:lpstr>Przemy</vt:lpstr>
      <vt:lpstr>Pozostałe</vt:lpstr>
      <vt:lpstr>Arkusz2</vt:lpstr>
      <vt:lpstr>Transport 2015</vt:lpstr>
      <vt:lpstr>Realizacja harmonogramu 2016-20</vt:lpstr>
      <vt:lpstr>Osiągnięcie celów 2016-2020</vt:lpstr>
      <vt:lpstr>Osiągnięcie celów 2021-2024</vt:lpstr>
      <vt:lpstr>Osiągnięcie celów 2016-2027</vt:lpstr>
      <vt:lpstr>efekt. eko - transport</vt:lpstr>
      <vt:lpstr>Arkusz1</vt:lpstr>
      <vt:lpstr>'Osiągnięcie celów 2016-2027'!_Hlk178671600</vt:lpstr>
      <vt:lpstr>'Bud.gminne 2015 '!Obszar_wydruku</vt:lpstr>
      <vt:lpstr>'Działalność gospodarcza 2015'!Obszar_wydruku</vt:lpstr>
      <vt:lpstr>'Działalność gospodarcza 204'!Obszar_wydruku</vt:lpstr>
      <vt:lpstr>'efekt. eko - transport'!Obszar_wydruku</vt:lpstr>
      <vt:lpstr>'Mieszkalne emisja, energia'!Obszar_wydruku</vt:lpstr>
      <vt:lpstr>'Mieszkalnictwo 2015'!Obszar_wydruku</vt:lpstr>
      <vt:lpstr>'Oświetlenie, en.elektr. 2015'!Obszar_wydruku</vt:lpstr>
      <vt:lpstr>Przemy!Obszar_wydruku</vt:lpstr>
      <vt:lpstr>'Transport 2015'!Obszar_wydruku</vt:lpstr>
    </vt:vector>
  </TitlesOfParts>
  <Company>NFOŚiGW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PBartosz</dc:creator>
  <cp:lastModifiedBy>joanna.kozlowska</cp:lastModifiedBy>
  <cp:lastPrinted>2024-10-03T11:57:05Z</cp:lastPrinted>
  <dcterms:created xsi:type="dcterms:W3CDTF">2014-03-11T11:11:41Z</dcterms:created>
  <dcterms:modified xsi:type="dcterms:W3CDTF">2024-10-03T11:58:32Z</dcterms:modified>
</cp:coreProperties>
</file>